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t/Documents/Projects 2022/Extension/Budgets/Oat Budget 2022/"/>
    </mc:Choice>
  </mc:AlternateContent>
  <xr:revisionPtr revIDLastSave="0" documentId="13_ncr:1_{830A32E2-2DA1-B748-86BE-71A6AC0ED3ED}" xr6:coauthVersionLast="47" xr6:coauthVersionMax="47" xr10:uidLastSave="{00000000-0000-0000-0000-000000000000}"/>
  <bookViews>
    <workbookView xWindow="1380" yWindow="2700" windowWidth="26080" windowHeight="19680" xr2:uid="{AA1FF10D-F877-9644-9095-2D08AAADC887}"/>
  </bookViews>
  <sheets>
    <sheet name="irrigated_SE ID" sheetId="1" r:id="rId1"/>
    <sheet name="irrigated_SW ID" sheetId="4" r:id="rId2"/>
    <sheet name="sources_method" sheetId="3" r:id="rId3"/>
  </sheets>
  <definedNames>
    <definedName name="solver_adj" localSheetId="0" hidden="1">'irrigated_SE ID'!$F$63</definedName>
    <definedName name="solver_adj" localSheetId="1" hidden="1">'irrigated_SW ID'!$F$63</definedName>
    <definedName name="solver_adj" localSheetId="2" hidden="1">sources_method!#REF!</definedName>
    <definedName name="solver_cvg" localSheetId="0" hidden="1">0.0001</definedName>
    <definedName name="solver_cvg" localSheetId="1" hidden="1">0.0001</definedName>
    <definedName name="solver_cvg" localSheetId="2" hidden="1">0.0001</definedName>
    <definedName name="solver_drv" localSheetId="0" hidden="1">1</definedName>
    <definedName name="solver_drv" localSheetId="1" hidden="1">1</definedName>
    <definedName name="solver_drv" localSheetId="2" hidden="1">1</definedName>
    <definedName name="solver_eng" localSheetId="0" hidden="1">1</definedName>
    <definedName name="solver_eng" localSheetId="1" hidden="1">1</definedName>
    <definedName name="solver_eng" localSheetId="2" hidden="1">1</definedName>
    <definedName name="solver_itr" localSheetId="0" hidden="1">2147483647</definedName>
    <definedName name="solver_itr" localSheetId="1" hidden="1">2147483647</definedName>
    <definedName name="solver_itr" localSheetId="2" hidden="1">2147483647</definedName>
    <definedName name="solver_lin" localSheetId="0" hidden="1">2</definedName>
    <definedName name="solver_lin" localSheetId="1" hidden="1">2</definedName>
    <definedName name="solver_lin" localSheetId="2" hidden="1">2</definedName>
    <definedName name="solver_mip" localSheetId="0" hidden="1">2147483647</definedName>
    <definedName name="solver_mip" localSheetId="1" hidden="1">2147483647</definedName>
    <definedName name="solver_mip" localSheetId="2" hidden="1">2147483647</definedName>
    <definedName name="solver_mni" localSheetId="0" hidden="1">30</definedName>
    <definedName name="solver_mni" localSheetId="1" hidden="1">30</definedName>
    <definedName name="solver_mni" localSheetId="2" hidden="1">30</definedName>
    <definedName name="solver_mrt" localSheetId="0" hidden="1">0.075</definedName>
    <definedName name="solver_mrt" localSheetId="1" hidden="1">0.075</definedName>
    <definedName name="solver_mrt" localSheetId="2" hidden="1">0.075</definedName>
    <definedName name="solver_msl" localSheetId="0" hidden="1">2</definedName>
    <definedName name="solver_msl" localSheetId="1" hidden="1">2</definedName>
    <definedName name="solver_msl" localSheetId="2" hidden="1">2</definedName>
    <definedName name="solver_neg" localSheetId="0" hidden="1">1</definedName>
    <definedName name="solver_neg" localSheetId="1" hidden="1">1</definedName>
    <definedName name="solver_neg" localSheetId="2" hidden="1">1</definedName>
    <definedName name="solver_nod" localSheetId="0" hidden="1">2147483647</definedName>
    <definedName name="solver_nod" localSheetId="1" hidden="1">2147483647</definedName>
    <definedName name="solver_nod" localSheetId="2" hidden="1">2147483647</definedName>
    <definedName name="solver_num" localSheetId="0" hidden="1">0</definedName>
    <definedName name="solver_num" localSheetId="1" hidden="1">0</definedName>
    <definedName name="solver_num" localSheetId="2" hidden="1">0</definedName>
    <definedName name="solver_opt" localSheetId="0" hidden="1">'irrigated_SE ID'!$F$68</definedName>
    <definedName name="solver_opt" localSheetId="1" hidden="1">'irrigated_SW ID'!$F$67</definedName>
    <definedName name="solver_opt" localSheetId="2" hidden="1">sources_method!#REF!</definedName>
    <definedName name="solver_pre" localSheetId="0" hidden="1">0.000001</definedName>
    <definedName name="solver_pre" localSheetId="1" hidden="1">0.000001</definedName>
    <definedName name="solver_pre" localSheetId="2" hidden="1">0.000001</definedName>
    <definedName name="solver_rbv" localSheetId="0" hidden="1">1</definedName>
    <definedName name="solver_rbv" localSheetId="1" hidden="1">1</definedName>
    <definedName name="solver_rbv" localSheetId="2" hidden="1">1</definedName>
    <definedName name="solver_rlx" localSheetId="0" hidden="1">2</definedName>
    <definedName name="solver_rlx" localSheetId="1" hidden="1">2</definedName>
    <definedName name="solver_rlx" localSheetId="2" hidden="1">2</definedName>
    <definedName name="solver_rsd" localSheetId="0" hidden="1">0</definedName>
    <definedName name="solver_rsd" localSheetId="1" hidden="1">0</definedName>
    <definedName name="solver_rsd" localSheetId="2" hidden="1">0</definedName>
    <definedName name="solver_scl" localSheetId="0" hidden="1">1</definedName>
    <definedName name="solver_scl" localSheetId="1" hidden="1">1</definedName>
    <definedName name="solver_scl" localSheetId="2" hidden="1">1</definedName>
    <definedName name="solver_sho" localSheetId="0" hidden="1">2</definedName>
    <definedName name="solver_sho" localSheetId="1" hidden="1">2</definedName>
    <definedName name="solver_sho" localSheetId="2" hidden="1">2</definedName>
    <definedName name="solver_ssz" localSheetId="0" hidden="1">100</definedName>
    <definedName name="solver_ssz" localSheetId="1" hidden="1">100</definedName>
    <definedName name="solver_ssz" localSheetId="2" hidden="1">100</definedName>
    <definedName name="solver_tim" localSheetId="0" hidden="1">2147483647</definedName>
    <definedName name="solver_tim" localSheetId="1" hidden="1">2147483647</definedName>
    <definedName name="solver_tim" localSheetId="2" hidden="1">2147483647</definedName>
    <definedName name="solver_tol" localSheetId="0" hidden="1">0.01</definedName>
    <definedName name="solver_tol" localSheetId="1" hidden="1">0.01</definedName>
    <definedName name="solver_tol" localSheetId="2" hidden="1">0.01</definedName>
    <definedName name="solver_typ" localSheetId="0" hidden="1">3</definedName>
    <definedName name="solver_typ" localSheetId="1" hidden="1">3</definedName>
    <definedName name="solver_typ" localSheetId="2" hidden="1">3</definedName>
    <definedName name="solver_val" localSheetId="0" hidden="1">0</definedName>
    <definedName name="solver_val" localSheetId="1" hidden="1">0</definedName>
    <definedName name="solver_val" localSheetId="2" hidden="1">0</definedName>
    <definedName name="solver_ver" localSheetId="0" hidden="1">2</definedName>
    <definedName name="solver_ver" localSheetId="1" hidden="1">2</definedName>
    <definedName name="solver_ver" localSheetId="2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6" i="4" l="1"/>
  <c r="R79" i="4" s="1"/>
  <c r="R81" i="4" s="1"/>
  <c r="Q76" i="4"/>
  <c r="Q79" i="4" s="1"/>
  <c r="Q81" i="4" s="1"/>
  <c r="P76" i="4"/>
  <c r="P80" i="4" s="1"/>
  <c r="O76" i="4"/>
  <c r="O80" i="4" s="1"/>
  <c r="N76" i="4"/>
  <c r="N79" i="4" s="1"/>
  <c r="N81" i="4" s="1"/>
  <c r="M76" i="4"/>
  <c r="M79" i="4" s="1"/>
  <c r="M81" i="4" s="1"/>
  <c r="R65" i="4"/>
  <c r="R68" i="4" s="1"/>
  <c r="R70" i="4" s="1"/>
  <c r="Q65" i="4"/>
  <c r="Q68" i="4" s="1"/>
  <c r="Q70" i="4" s="1"/>
  <c r="P65" i="4"/>
  <c r="P69" i="4" s="1"/>
  <c r="O65" i="4"/>
  <c r="O69" i="4" s="1"/>
  <c r="N65" i="4"/>
  <c r="N68" i="4" s="1"/>
  <c r="N70" i="4" s="1"/>
  <c r="M65" i="4"/>
  <c r="M68" i="4" s="1"/>
  <c r="M70" i="4" s="1"/>
  <c r="O68" i="4" l="1"/>
  <c r="O70" i="4" s="1"/>
  <c r="O79" i="4"/>
  <c r="O81" i="4" s="1"/>
  <c r="P68" i="4"/>
  <c r="P70" i="4" s="1"/>
  <c r="P79" i="4"/>
  <c r="P81" i="4" s="1"/>
  <c r="M69" i="4"/>
  <c r="R80" i="4"/>
  <c r="Q69" i="4"/>
  <c r="M80" i="4"/>
  <c r="Q80" i="4"/>
  <c r="N69" i="4"/>
  <c r="R69" i="4"/>
  <c r="N80" i="4"/>
  <c r="R76" i="1"/>
  <c r="R79" i="1" s="1"/>
  <c r="R81" i="1" s="1"/>
  <c r="Q76" i="1"/>
  <c r="Q79" i="1" s="1"/>
  <c r="Q81" i="1" s="1"/>
  <c r="P76" i="1"/>
  <c r="P80" i="1" s="1"/>
  <c r="O76" i="1"/>
  <c r="O80" i="1" s="1"/>
  <c r="N76" i="1"/>
  <c r="N79" i="1" s="1"/>
  <c r="N81" i="1" s="1"/>
  <c r="M76" i="1"/>
  <c r="M79" i="1" s="1"/>
  <c r="M81" i="1" s="1"/>
  <c r="R65" i="1"/>
  <c r="R69" i="1" s="1"/>
  <c r="Q65" i="1"/>
  <c r="Q69" i="1" s="1"/>
  <c r="P65" i="1"/>
  <c r="P69" i="1" s="1"/>
  <c r="O65" i="1"/>
  <c r="O69" i="1" s="1"/>
  <c r="N65" i="1"/>
  <c r="N69" i="1" s="1"/>
  <c r="M65" i="1"/>
  <c r="M69" i="1" s="1"/>
  <c r="F48" i="4"/>
  <c r="F46" i="4"/>
  <c r="F44" i="4"/>
  <c r="F37" i="4"/>
  <c r="E35" i="4"/>
  <c r="E34" i="4"/>
  <c r="F30" i="4"/>
  <c r="M68" i="1" l="1"/>
  <c r="M70" i="1" s="1"/>
  <c r="O79" i="1"/>
  <c r="O81" i="1" s="1"/>
  <c r="P79" i="1"/>
  <c r="P81" i="1" s="1"/>
  <c r="Q80" i="1"/>
  <c r="M80" i="1"/>
  <c r="N80" i="1"/>
  <c r="R80" i="1"/>
  <c r="R68" i="1"/>
  <c r="R70" i="1" s="1"/>
  <c r="Q68" i="1"/>
  <c r="Q70" i="1" s="1"/>
  <c r="P68" i="1"/>
  <c r="P70" i="1" s="1"/>
  <c r="O68" i="1"/>
  <c r="O70" i="1" s="1"/>
  <c r="N68" i="1"/>
  <c r="N70" i="1" s="1"/>
  <c r="F64" i="4"/>
  <c r="F50" i="4"/>
  <c r="E36" i="4"/>
  <c r="C36" i="4"/>
  <c r="F36" i="4" s="1"/>
  <c r="F35" i="4"/>
  <c r="F34" i="4"/>
  <c r="F32" i="4"/>
  <c r="F31" i="4"/>
  <c r="F29" i="4"/>
  <c r="F28" i="4"/>
  <c r="E26" i="4"/>
  <c r="F26" i="4" s="1"/>
  <c r="F25" i="4"/>
  <c r="F24" i="4"/>
  <c r="E22" i="4"/>
  <c r="F22" i="4" s="1"/>
  <c r="F21" i="4"/>
  <c r="F20" i="4"/>
  <c r="E19" i="4"/>
  <c r="F19" i="4" s="1"/>
  <c r="F17" i="4"/>
  <c r="E17" i="4"/>
  <c r="E16" i="4"/>
  <c r="F16" i="4" s="1"/>
  <c r="F15" i="4"/>
  <c r="E15" i="4"/>
  <c r="F13" i="4"/>
  <c r="F64" i="1"/>
  <c r="F40" i="4" l="1"/>
  <c r="F41" i="4" s="1"/>
  <c r="E19" i="1"/>
  <c r="F19" i="1"/>
  <c r="F20" i="1"/>
  <c r="F21" i="1"/>
  <c r="F48" i="1"/>
  <c r="F46" i="1"/>
  <c r="F44" i="1"/>
  <c r="F37" i="1"/>
  <c r="E36" i="1"/>
  <c r="C36" i="1"/>
  <c r="F36" i="1" s="1"/>
  <c r="E35" i="1"/>
  <c r="F35" i="1" s="1"/>
  <c r="E34" i="1"/>
  <c r="F34" i="1" s="1"/>
  <c r="F58" i="4" l="1"/>
  <c r="F68" i="4" s="1"/>
  <c r="F67" i="4"/>
  <c r="F69" i="4" s="1"/>
  <c r="E17" i="1"/>
  <c r="F17" i="1" s="1"/>
  <c r="E16" i="1"/>
  <c r="F16" i="1" s="1"/>
  <c r="E15" i="1"/>
  <c r="F50" i="1"/>
  <c r="F32" i="1" l="1"/>
  <c r="F31" i="1"/>
  <c r="E26" i="1"/>
  <c r="E22" i="1"/>
  <c r="F22" i="1" s="1"/>
  <c r="E29" i="1" l="1"/>
  <c r="F29" i="1" s="1"/>
  <c r="F28" i="1"/>
  <c r="F30" i="1"/>
  <c r="F25" i="1"/>
  <c r="F26" i="1"/>
  <c r="F24" i="1"/>
  <c r="F15" i="1" l="1"/>
  <c r="F13" i="1"/>
  <c r="F40" i="1" s="1"/>
  <c r="F41" i="1" s="1"/>
  <c r="F58" i="1" l="1"/>
  <c r="F67" i="1"/>
  <c r="F69" i="1" s="1"/>
  <c r="F68" i="1" l="1"/>
</calcChain>
</file>

<file path=xl/sharedStrings.xml><?xml version="1.0" encoding="utf-8"?>
<sst xmlns="http://schemas.openxmlformats.org/spreadsheetml/2006/main" count="315" uniqueCount="101">
  <si>
    <t>Sources:</t>
  </si>
  <si>
    <t>"Guidelines for Estimating Crop Production Costs - 2022", Manitoba Agriculture</t>
  </si>
  <si>
    <t xml:space="preserve">University of Idaho, 2005 oat budgets for North Idaho </t>
  </si>
  <si>
    <t>Idaho oat enterprise budget - 2022</t>
  </si>
  <si>
    <t>Production Costs 2022 (Dollars Per Acre)</t>
  </si>
  <si>
    <t>East Idaho Irrigated Wheat Budgets 2019</t>
  </si>
  <si>
    <t>Operating costs</t>
  </si>
  <si>
    <t>Seed &amp; treatment</t>
  </si>
  <si>
    <t>Fertilizer</t>
  </si>
  <si>
    <t>Crop Insurance</t>
  </si>
  <si>
    <t>Land Taxes</t>
  </si>
  <si>
    <t>Storage Costs</t>
  </si>
  <si>
    <t>Interest on Operating Costs</t>
  </si>
  <si>
    <t>Profitability analysis</t>
  </si>
  <si>
    <t>Estimated Farmgate</t>
  </si>
  <si>
    <t>Target Price ($/bu)</t>
  </si>
  <si>
    <t>Target Yield (bu/acre)</t>
  </si>
  <si>
    <t>Gross revenue ($/acre)</t>
  </si>
  <si>
    <t>Marginal returns</t>
  </si>
  <si>
    <t>Over operating costs</t>
  </si>
  <si>
    <t>Breakeven analysis</t>
  </si>
  <si>
    <t>Breakeven prices ($/bu)</t>
  </si>
  <si>
    <t>Over total costs</t>
  </si>
  <si>
    <t>Breakeven yields (bu)</t>
  </si>
  <si>
    <t>Quantity per acre</t>
  </si>
  <si>
    <t>Unit</t>
  </si>
  <si>
    <t>Cost/unit</t>
  </si>
  <si>
    <t>Cost/acre</t>
  </si>
  <si>
    <t>bu</t>
  </si>
  <si>
    <t>lbs</t>
  </si>
  <si>
    <t>Herbicide</t>
  </si>
  <si>
    <t>Irrigation</t>
  </si>
  <si>
    <t xml:space="preserve">   Irrigation Water Assesment</t>
  </si>
  <si>
    <t xml:space="preserve">   Irrigation Power - Center Pivot</t>
  </si>
  <si>
    <t xml:space="preserve">   Irrigation Repairs</t>
  </si>
  <si>
    <t>Machinery</t>
  </si>
  <si>
    <t xml:space="preserve">   Fuel - Gas</t>
  </si>
  <si>
    <t xml:space="preserve">   Fuel - Diesel</t>
  </si>
  <si>
    <t xml:space="preserve">   Fuel - Road Diesel</t>
  </si>
  <si>
    <t xml:space="preserve">   Lube</t>
  </si>
  <si>
    <t xml:space="preserve">   Machinery repair</t>
  </si>
  <si>
    <t xml:space="preserve">   Axial XL</t>
  </si>
  <si>
    <t xml:space="preserve">   Affinity TankMix</t>
  </si>
  <si>
    <t xml:space="preserve">   Starane Ultra</t>
  </si>
  <si>
    <t>Fungicide (Twinline)</t>
  </si>
  <si>
    <t>fl oz</t>
  </si>
  <si>
    <t>oz</t>
  </si>
  <si>
    <t>pint</t>
  </si>
  <si>
    <t>Custom</t>
  </si>
  <si>
    <t xml:space="preserve">   Custom Fertilize: 0 - 400 lbs</t>
  </si>
  <si>
    <t xml:space="preserve">   Custom Air Spray - 5 gal. rate</t>
  </si>
  <si>
    <t xml:space="preserve">   Custom Haul: oats</t>
  </si>
  <si>
    <t>ac-in</t>
  </si>
  <si>
    <t>acre</t>
  </si>
  <si>
    <t>gal</t>
  </si>
  <si>
    <t>Total operating (per acre)</t>
  </si>
  <si>
    <t>Cash overhead costs</t>
  </si>
  <si>
    <t>General overhead</t>
  </si>
  <si>
    <t>Land rent</t>
  </si>
  <si>
    <t>Management Fee</t>
  </si>
  <si>
    <t>Property Taxes</t>
  </si>
  <si>
    <t>Property Insurance</t>
  </si>
  <si>
    <t>Investment repairs</t>
  </si>
  <si>
    <t>Total cash overhead costs (per acre)</t>
  </si>
  <si>
    <t>Ownership costs</t>
  </si>
  <si>
    <t>Non-cash overhead costs</t>
  </si>
  <si>
    <t xml:space="preserve">   Equipment (capital recovery)</t>
  </si>
  <si>
    <t xml:space="preserve">   Labor &amp; living</t>
  </si>
  <si>
    <t>Total cost (per acre)</t>
  </si>
  <si>
    <t>w/o end gun</t>
  </si>
  <si>
    <t>E Idaho all</t>
  </si>
  <si>
    <t>https://tax.idaho.gov/i-1119.cfm</t>
  </si>
  <si>
    <t>/gal</t>
  </si>
  <si>
    <t>2019*FRED based fertilizer index 2022</t>
  </si>
  <si>
    <t>Manitoba seed price</t>
  </si>
  <si>
    <t>2019*FRED based PPI grains 2022</t>
  </si>
  <si>
    <t xml:space="preserve">   Dry Nitrogen - Pre-plant</t>
  </si>
  <si>
    <t xml:space="preserve">   Dry P2O5</t>
  </si>
  <si>
    <t xml:space="preserve">   K2O</t>
  </si>
  <si>
    <t>Manitoba value</t>
  </si>
  <si>
    <t>2019 value</t>
  </si>
  <si>
    <t>WASDE October 2022 2022/2023 Avg. Farm price</t>
  </si>
  <si>
    <t>Manitoba yields</t>
  </si>
  <si>
    <t>Manitoba quantities</t>
  </si>
  <si>
    <t>% over operating costs</t>
  </si>
  <si>
    <t>Source/method</t>
  </si>
  <si>
    <t>2019*FRED based ag machinery index 2022</t>
  </si>
  <si>
    <t>UI 2022 Input Price Summary</t>
  </si>
  <si>
    <t>https://www.kansascityfed.org/agriculture/agfinance-updates/farm-loan-interest-rates-rise-sharply/</t>
  </si>
  <si>
    <t xml:space="preserve">   Irrigation Water Assessment</t>
  </si>
  <si>
    <t>USDA-NASS</t>
  </si>
  <si>
    <t>SWI</t>
  </si>
  <si>
    <t>EI: Caribou County 2022</t>
  </si>
  <si>
    <t>WI: Gem County</t>
  </si>
  <si>
    <t>AAA Oct 28</t>
  </si>
  <si>
    <t>EI:  (avg IF, Pocatello)</t>
  </si>
  <si>
    <t>AAA Oct 28 - $0.32 gas tax</t>
  </si>
  <si>
    <t>WI: EI +$0.20</t>
  </si>
  <si>
    <t>Idaho oat enterprise budget - 2022 - Western Idaho</t>
  </si>
  <si>
    <t>Idaho oat enterprise budget - 2022 - Southeast Idaho</t>
  </si>
  <si>
    <t>Profitability analysis - expanded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</si>
</sst>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1" xfId="0" applyBorder="1"/>
    <xf numFmtId="10" fontId="0" fillId="0" borderId="0" xfId="0" applyNumberFormat="1"/>
    <xf numFmtId="2" fontId="0" fillId="0" borderId="0" xfId="0" applyNumberFormat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2" fontId="0" fillId="0" borderId="7" xfId="0" applyNumberFormat="1" applyBorder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8" xfId="0" applyBorder="1"/>
    <xf numFmtId="2" fontId="0" fillId="0" borderId="9" xfId="0" applyNumberFormat="1" applyBorder="1"/>
    <xf numFmtId="0" fontId="0" fillId="0" borderId="9" xfId="0" applyBorder="1"/>
    <xf numFmtId="0" fontId="0" fillId="0" borderId="6" xfId="0" applyBorder="1" applyAlignment="1">
      <alignment horizontal="left"/>
    </xf>
    <xf numFmtId="9" fontId="0" fillId="0" borderId="7" xfId="1" applyFont="1" applyBorder="1"/>
    <xf numFmtId="1" fontId="0" fillId="0" borderId="7" xfId="0" applyNumberFormat="1" applyBorder="1"/>
    <xf numFmtId="1" fontId="0" fillId="0" borderId="9" xfId="0" applyNumberFormat="1" applyBorder="1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6" xfId="0" applyFont="1" applyBorder="1"/>
    <xf numFmtId="0" fontId="1" fillId="0" borderId="8" xfId="0" applyFont="1" applyBorder="1"/>
    <xf numFmtId="0" fontId="1" fillId="0" borderId="8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2" fontId="1" fillId="0" borderId="7" xfId="0" applyNumberFormat="1" applyFont="1" applyBorder="1"/>
    <xf numFmtId="2" fontId="1" fillId="0" borderId="2" xfId="0" applyNumberFormat="1" applyFont="1" applyBorder="1"/>
    <xf numFmtId="2" fontId="0" fillId="0" borderId="0" xfId="0" applyNumberFormat="1" applyBorder="1"/>
    <xf numFmtId="0" fontId="0" fillId="0" borderId="0" xfId="0" applyBorder="1"/>
    <xf numFmtId="2" fontId="1" fillId="0" borderId="0" xfId="0" applyNumberFormat="1" applyFont="1" applyBorder="1"/>
    <xf numFmtId="9" fontId="0" fillId="0" borderId="0" xfId="1" applyFont="1" applyBorder="1"/>
    <xf numFmtId="0" fontId="1" fillId="0" borderId="3" xfId="0" applyFont="1" applyBorder="1" applyAlignment="1">
      <alignment horizontal="left"/>
    </xf>
    <xf numFmtId="9" fontId="0" fillId="0" borderId="1" xfId="1" applyFont="1" applyBorder="1"/>
    <xf numFmtId="9" fontId="0" fillId="0" borderId="9" xfId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81FF9-5209-4343-B18D-A2F4EB406D51}">
  <dimension ref="B2:R81"/>
  <sheetViews>
    <sheetView tabSelected="1" topLeftCell="B34" zoomScale="80" zoomScaleNormal="80" workbookViewId="0">
      <selection activeCell="K61" sqref="K61"/>
    </sheetView>
  </sheetViews>
  <sheetFormatPr baseColWidth="10" defaultRowHeight="16" x14ac:dyDescent="0.2"/>
  <cols>
    <col min="2" max="2" width="33.33203125" customWidth="1"/>
    <col min="3" max="3" width="16.1640625" customWidth="1"/>
    <col min="4" max="4" width="7.6640625" customWidth="1"/>
    <col min="5" max="7" width="20.83203125" customWidth="1"/>
    <col min="11" max="11" width="24.33203125" customWidth="1"/>
    <col min="14" max="18" width="10.83203125" customWidth="1"/>
  </cols>
  <sheetData>
    <row r="2" spans="2:14" x14ac:dyDescent="0.2">
      <c r="B2" s="6" t="s">
        <v>99</v>
      </c>
      <c r="C2" s="7"/>
      <c r="D2" s="7"/>
      <c r="E2" s="7"/>
      <c r="F2" s="8"/>
    </row>
    <row r="3" spans="2:14" x14ac:dyDescent="0.2">
      <c r="B3" s="9"/>
      <c r="F3" s="10"/>
    </row>
    <row r="4" spans="2:14" x14ac:dyDescent="0.2">
      <c r="B4" s="9" t="s">
        <v>0</v>
      </c>
      <c r="F4" s="10"/>
    </row>
    <row r="5" spans="2:14" x14ac:dyDescent="0.2">
      <c r="B5" s="9" t="s">
        <v>1</v>
      </c>
      <c r="F5" s="10"/>
    </row>
    <row r="6" spans="2:14" x14ac:dyDescent="0.2">
      <c r="B6" s="9" t="s">
        <v>2</v>
      </c>
      <c r="F6" s="10"/>
    </row>
    <row r="7" spans="2:14" x14ac:dyDescent="0.2">
      <c r="B7" s="9" t="s">
        <v>5</v>
      </c>
      <c r="F7" s="10"/>
    </row>
    <row r="8" spans="2:14" x14ac:dyDescent="0.2">
      <c r="B8" s="9"/>
      <c r="F8" s="10"/>
    </row>
    <row r="9" spans="2:14" x14ac:dyDescent="0.2">
      <c r="B9" s="9"/>
      <c r="F9" s="10"/>
    </row>
    <row r="10" spans="2:14" ht="30" customHeight="1" x14ac:dyDescent="0.2">
      <c r="B10" s="24" t="s">
        <v>4</v>
      </c>
      <c r="F10" s="10"/>
    </row>
    <row r="11" spans="2:14" ht="20" customHeight="1" x14ac:dyDescent="0.2">
      <c r="B11" s="24" t="s">
        <v>6</v>
      </c>
      <c r="F11" s="10"/>
    </row>
    <row r="12" spans="2:14" x14ac:dyDescent="0.2">
      <c r="B12" s="9"/>
      <c r="C12" t="s">
        <v>24</v>
      </c>
      <c r="D12" t="s">
        <v>25</v>
      </c>
      <c r="E12" t="s">
        <v>26</v>
      </c>
      <c r="F12" s="10" t="s">
        <v>27</v>
      </c>
    </row>
    <row r="13" spans="2:14" x14ac:dyDescent="0.2">
      <c r="B13" s="24" t="s">
        <v>7</v>
      </c>
      <c r="C13">
        <v>2.5</v>
      </c>
      <c r="D13" t="s">
        <v>28</v>
      </c>
      <c r="E13">
        <v>14</v>
      </c>
      <c r="F13" s="10">
        <f>C13*E13</f>
        <v>35</v>
      </c>
    </row>
    <row r="14" spans="2:14" x14ac:dyDescent="0.2">
      <c r="B14" s="24" t="s">
        <v>8</v>
      </c>
      <c r="F14" s="10"/>
      <c r="N14" s="5"/>
    </row>
    <row r="15" spans="2:14" x14ac:dyDescent="0.2">
      <c r="B15" s="9" t="s">
        <v>76</v>
      </c>
      <c r="C15">
        <v>75</v>
      </c>
      <c r="D15" t="s">
        <v>29</v>
      </c>
      <c r="E15" s="5">
        <f>0.42*2.13</f>
        <v>0.89459999999999995</v>
      </c>
      <c r="F15" s="11">
        <f>C15*E15</f>
        <v>67.094999999999999</v>
      </c>
      <c r="N15" s="5"/>
    </row>
    <row r="16" spans="2:14" x14ac:dyDescent="0.2">
      <c r="B16" s="9" t="s">
        <v>77</v>
      </c>
      <c r="C16">
        <v>30</v>
      </c>
      <c r="D16" t="s">
        <v>29</v>
      </c>
      <c r="E16" s="5">
        <f>0.41*2.13</f>
        <v>0.87329999999999985</v>
      </c>
      <c r="F16" s="11">
        <f t="shared" ref="F16:F17" si="0">C16*E16</f>
        <v>26.198999999999995</v>
      </c>
      <c r="N16" s="5"/>
    </row>
    <row r="17" spans="2:14" x14ac:dyDescent="0.2">
      <c r="B17" s="9" t="s">
        <v>78</v>
      </c>
      <c r="C17">
        <v>10</v>
      </c>
      <c r="D17" t="s">
        <v>29</v>
      </c>
      <c r="E17" s="5">
        <f>0.31*2.13</f>
        <v>0.6603</v>
      </c>
      <c r="F17" s="11">
        <f t="shared" si="0"/>
        <v>6.6029999999999998</v>
      </c>
      <c r="N17" s="5"/>
    </row>
    <row r="18" spans="2:14" x14ac:dyDescent="0.2">
      <c r="B18" s="24" t="s">
        <v>30</v>
      </c>
      <c r="F18" s="10"/>
      <c r="N18" s="5"/>
    </row>
    <row r="19" spans="2:14" x14ac:dyDescent="0.2">
      <c r="B19" s="9" t="s">
        <v>41</v>
      </c>
      <c r="C19">
        <v>16.399999999999999</v>
      </c>
      <c r="D19" t="s">
        <v>45</v>
      </c>
      <c r="E19" s="5">
        <f>170/128</f>
        <v>1.328125</v>
      </c>
      <c r="F19" s="11">
        <f>E19*C19</f>
        <v>21.781249999999996</v>
      </c>
      <c r="N19" s="5"/>
    </row>
    <row r="20" spans="2:14" x14ac:dyDescent="0.2">
      <c r="B20" s="9" t="s">
        <v>42</v>
      </c>
      <c r="C20">
        <v>0.6</v>
      </c>
      <c r="D20" t="s">
        <v>46</v>
      </c>
      <c r="E20">
        <v>10</v>
      </c>
      <c r="F20" s="11">
        <f>E20*C20</f>
        <v>6</v>
      </c>
      <c r="N20" s="5"/>
    </row>
    <row r="21" spans="2:14" x14ac:dyDescent="0.2">
      <c r="B21" s="9" t="s">
        <v>43</v>
      </c>
      <c r="C21">
        <v>0.3</v>
      </c>
      <c r="D21" t="s">
        <v>47</v>
      </c>
      <c r="E21">
        <v>32</v>
      </c>
      <c r="F21" s="11">
        <f>E21*C21</f>
        <v>9.6</v>
      </c>
    </row>
    <row r="22" spans="2:14" x14ac:dyDescent="0.2">
      <c r="B22" s="24" t="s">
        <v>44</v>
      </c>
      <c r="C22">
        <v>7</v>
      </c>
      <c r="D22" t="s">
        <v>45</v>
      </c>
      <c r="E22" s="5">
        <f>1.65*2.13</f>
        <v>3.5144999999999995</v>
      </c>
      <c r="F22" s="11">
        <f>E22*C22</f>
        <v>24.601499999999998</v>
      </c>
    </row>
    <row r="23" spans="2:14" x14ac:dyDescent="0.2">
      <c r="B23" s="24" t="s">
        <v>31</v>
      </c>
      <c r="F23" s="10"/>
    </row>
    <row r="24" spans="2:14" x14ac:dyDescent="0.2">
      <c r="B24" s="9" t="s">
        <v>33</v>
      </c>
      <c r="C24">
        <v>20</v>
      </c>
      <c r="D24" t="s">
        <v>52</v>
      </c>
      <c r="E24">
        <v>1.73</v>
      </c>
      <c r="F24" s="11">
        <f>C24*E24</f>
        <v>34.6</v>
      </c>
    </row>
    <row r="25" spans="2:14" x14ac:dyDescent="0.2">
      <c r="B25" s="9" t="s">
        <v>89</v>
      </c>
      <c r="C25">
        <v>1</v>
      </c>
      <c r="D25" t="s">
        <v>53</v>
      </c>
      <c r="E25">
        <v>36.5</v>
      </c>
      <c r="F25" s="11">
        <f>C25*E25</f>
        <v>36.5</v>
      </c>
    </row>
    <row r="26" spans="2:14" x14ac:dyDescent="0.2">
      <c r="B26" s="9" t="s">
        <v>34</v>
      </c>
      <c r="C26">
        <v>20</v>
      </c>
      <c r="D26" t="s">
        <v>52</v>
      </c>
      <c r="E26" s="5">
        <f>0.55*1.2475</f>
        <v>0.6861250000000001</v>
      </c>
      <c r="F26" s="11">
        <f>C26*E26</f>
        <v>13.722500000000002</v>
      </c>
    </row>
    <row r="27" spans="2:14" x14ac:dyDescent="0.2">
      <c r="B27" s="24" t="s">
        <v>35</v>
      </c>
      <c r="F27" s="10"/>
    </row>
    <row r="28" spans="2:14" x14ac:dyDescent="0.2">
      <c r="B28" s="9" t="s">
        <v>36</v>
      </c>
      <c r="C28">
        <v>2.88</v>
      </c>
      <c r="D28" t="s">
        <v>54</v>
      </c>
      <c r="E28">
        <v>4.2</v>
      </c>
      <c r="F28" s="11">
        <f>C28*E28</f>
        <v>12.096</v>
      </c>
    </row>
    <row r="29" spans="2:14" x14ac:dyDescent="0.2">
      <c r="B29" s="9" t="s">
        <v>37</v>
      </c>
      <c r="C29">
        <v>5.32</v>
      </c>
      <c r="D29" t="s">
        <v>54</v>
      </c>
      <c r="E29">
        <f>5.2-0.32</f>
        <v>4.88</v>
      </c>
      <c r="F29" s="11">
        <f t="shared" ref="F29:F30" si="1">C29*E29</f>
        <v>25.961600000000001</v>
      </c>
    </row>
    <row r="30" spans="2:14" x14ac:dyDescent="0.2">
      <c r="B30" s="9" t="s">
        <v>38</v>
      </c>
      <c r="C30">
        <v>0.16</v>
      </c>
      <c r="D30" s="2" t="s">
        <v>54</v>
      </c>
      <c r="E30">
        <v>5.2</v>
      </c>
      <c r="F30" s="11">
        <f t="shared" si="1"/>
        <v>0.83200000000000007</v>
      </c>
    </row>
    <row r="31" spans="2:14" ht="16" customHeight="1" x14ac:dyDescent="0.2">
      <c r="B31" s="9" t="s">
        <v>39</v>
      </c>
      <c r="C31" s="2"/>
      <c r="F31" s="11">
        <f>3.76*1.2475</f>
        <v>4.6905999999999999</v>
      </c>
    </row>
    <row r="32" spans="2:14" x14ac:dyDescent="0.2">
      <c r="B32" s="9" t="s">
        <v>40</v>
      </c>
      <c r="C32" s="2"/>
      <c r="F32" s="11">
        <f>15.07*1.2475</f>
        <v>18.799825000000002</v>
      </c>
    </row>
    <row r="33" spans="2:7" x14ac:dyDescent="0.2">
      <c r="B33" s="24" t="s">
        <v>48</v>
      </c>
      <c r="C33" s="2"/>
      <c r="D33" s="12"/>
      <c r="E33" s="12"/>
      <c r="F33" s="10"/>
    </row>
    <row r="34" spans="2:7" x14ac:dyDescent="0.2">
      <c r="B34" s="9" t="s">
        <v>49</v>
      </c>
      <c r="C34" s="13">
        <v>1</v>
      </c>
      <c r="D34" t="s">
        <v>53</v>
      </c>
      <c r="E34" s="5">
        <f>7.35*1.9248</f>
        <v>14.14728</v>
      </c>
      <c r="F34" s="11">
        <f>C34*E34</f>
        <v>14.14728</v>
      </c>
    </row>
    <row r="35" spans="2:7" x14ac:dyDescent="0.2">
      <c r="B35" s="9" t="s">
        <v>50</v>
      </c>
      <c r="C35" s="13">
        <v>1</v>
      </c>
      <c r="D35" t="s">
        <v>53</v>
      </c>
      <c r="E35" s="5">
        <f>9*1.9248</f>
        <v>17.3232</v>
      </c>
      <c r="F35" s="11">
        <f t="shared" ref="F35:F36" si="2">C35*E35</f>
        <v>17.3232</v>
      </c>
    </row>
    <row r="36" spans="2:7" ht="16" customHeight="1" x14ac:dyDescent="0.2">
      <c r="B36" s="9" t="s">
        <v>51</v>
      </c>
      <c r="C36" s="13">
        <f>F63</f>
        <v>115</v>
      </c>
      <c r="D36" t="s">
        <v>28</v>
      </c>
      <c r="E36" s="5">
        <f>0.35*1.9248</f>
        <v>0.67367999999999995</v>
      </c>
      <c r="F36" s="11">
        <f t="shared" si="2"/>
        <v>77.473199999999991</v>
      </c>
    </row>
    <row r="37" spans="2:7" ht="16" customHeight="1" x14ac:dyDescent="0.2">
      <c r="B37" s="24" t="s">
        <v>9</v>
      </c>
      <c r="C37" s="2"/>
      <c r="F37" s="11">
        <f>20*1.9248</f>
        <v>38.496000000000002</v>
      </c>
    </row>
    <row r="38" spans="2:7" x14ac:dyDescent="0.2">
      <c r="B38" s="24" t="s">
        <v>10</v>
      </c>
      <c r="C38" s="2"/>
      <c r="D38" s="12"/>
      <c r="E38" s="12"/>
      <c r="F38" s="10">
        <v>0</v>
      </c>
    </row>
    <row r="39" spans="2:7" x14ac:dyDescent="0.2">
      <c r="B39" s="24" t="s">
        <v>11</v>
      </c>
      <c r="C39" s="2"/>
      <c r="F39" s="10">
        <v>18.77</v>
      </c>
    </row>
    <row r="40" spans="2:7" x14ac:dyDescent="0.2">
      <c r="B40" s="25" t="s">
        <v>12</v>
      </c>
      <c r="F40" s="15">
        <f>SUM(F13:F39)*0.065</f>
        <v>33.168977074999994</v>
      </c>
      <c r="G40" s="4"/>
    </row>
    <row r="41" spans="2:7" ht="16" customHeight="1" x14ac:dyDescent="0.2">
      <c r="B41" s="24" t="s">
        <v>55</v>
      </c>
      <c r="F41" s="28">
        <f>SUM(F13:F40)</f>
        <v>543.46093207499996</v>
      </c>
    </row>
    <row r="42" spans="2:7" x14ac:dyDescent="0.2">
      <c r="B42" s="9"/>
      <c r="F42" s="10"/>
    </row>
    <row r="43" spans="2:7" x14ac:dyDescent="0.2">
      <c r="B43" s="26" t="s">
        <v>56</v>
      </c>
      <c r="F43" s="10"/>
    </row>
    <row r="44" spans="2:7" x14ac:dyDescent="0.2">
      <c r="B44" s="9" t="s">
        <v>57</v>
      </c>
      <c r="F44" s="11">
        <f>10*1.9248</f>
        <v>19.248000000000001</v>
      </c>
    </row>
    <row r="45" spans="2:7" x14ac:dyDescent="0.2">
      <c r="B45" s="9" t="s">
        <v>58</v>
      </c>
      <c r="F45" s="11">
        <v>155</v>
      </c>
    </row>
    <row r="46" spans="2:7" x14ac:dyDescent="0.2">
      <c r="B46" s="9" t="s">
        <v>59</v>
      </c>
      <c r="F46" s="11">
        <f>34*1.9248</f>
        <v>65.443200000000004</v>
      </c>
    </row>
    <row r="47" spans="2:7" ht="16" customHeight="1" x14ac:dyDescent="0.2">
      <c r="B47" s="9" t="s">
        <v>60</v>
      </c>
      <c r="F47" s="10">
        <v>0</v>
      </c>
    </row>
    <row r="48" spans="2:7" x14ac:dyDescent="0.2">
      <c r="B48" s="9" t="s">
        <v>61</v>
      </c>
      <c r="E48" s="12"/>
      <c r="F48" s="11">
        <f>1.49*1.9248</f>
        <v>2.8679520000000003</v>
      </c>
    </row>
    <row r="49" spans="2:18" x14ac:dyDescent="0.2">
      <c r="B49" s="14" t="s">
        <v>62</v>
      </c>
      <c r="F49" s="16">
        <v>0</v>
      </c>
    </row>
    <row r="50" spans="2:18" x14ac:dyDescent="0.2">
      <c r="B50" s="24" t="s">
        <v>63</v>
      </c>
      <c r="F50" s="28">
        <f>SUM(F43:F49)</f>
        <v>242.55915199999998</v>
      </c>
    </row>
    <row r="51" spans="2:18" ht="16" customHeight="1" x14ac:dyDescent="0.2">
      <c r="B51" s="9"/>
      <c r="F51" s="10"/>
    </row>
    <row r="52" spans="2:18" x14ac:dyDescent="0.2">
      <c r="B52" s="24" t="s">
        <v>65</v>
      </c>
      <c r="F52" s="10"/>
    </row>
    <row r="53" spans="2:18" x14ac:dyDescent="0.2">
      <c r="B53" s="9" t="s">
        <v>66</v>
      </c>
      <c r="F53" s="10">
        <v>60.27</v>
      </c>
    </row>
    <row r="54" spans="2:18" x14ac:dyDescent="0.2">
      <c r="B54" s="9"/>
      <c r="F54" s="10"/>
    </row>
    <row r="55" spans="2:18" x14ac:dyDescent="0.2">
      <c r="B55" s="27" t="s">
        <v>64</v>
      </c>
      <c r="F55" s="10"/>
    </row>
    <row r="56" spans="2:18" x14ac:dyDescent="0.2">
      <c r="B56" s="17" t="s">
        <v>67</v>
      </c>
      <c r="C56" s="12"/>
      <c r="D56" s="12"/>
      <c r="F56" s="11">
        <v>25</v>
      </c>
    </row>
    <row r="57" spans="2:18" x14ac:dyDescent="0.2">
      <c r="B57" s="17"/>
      <c r="F57" s="10"/>
    </row>
    <row r="58" spans="2:18" x14ac:dyDescent="0.2">
      <c r="B58" s="27" t="s">
        <v>68</v>
      </c>
      <c r="F58" s="29">
        <f>F41+F50+F53+F56</f>
        <v>871.29008407499987</v>
      </c>
    </row>
    <row r="59" spans="2:18" x14ac:dyDescent="0.2">
      <c r="B59" s="9"/>
      <c r="F59" s="10"/>
    </row>
    <row r="60" spans="2:18" x14ac:dyDescent="0.2">
      <c r="B60" s="27" t="s">
        <v>13</v>
      </c>
      <c r="F60" s="10"/>
      <c r="K60" s="34" t="s">
        <v>100</v>
      </c>
      <c r="L60" s="7"/>
      <c r="M60" s="7"/>
      <c r="N60" s="7"/>
      <c r="O60" s="7"/>
      <c r="P60" s="7"/>
      <c r="Q60" s="7"/>
      <c r="R60" s="8"/>
    </row>
    <row r="61" spans="2:18" x14ac:dyDescent="0.2">
      <c r="B61" s="25" t="s">
        <v>14</v>
      </c>
      <c r="F61" s="10"/>
      <c r="K61" s="9"/>
      <c r="L61" s="31"/>
      <c r="M61" s="31"/>
      <c r="N61" s="31"/>
      <c r="O61" s="31"/>
      <c r="P61" s="31"/>
      <c r="Q61" s="31"/>
      <c r="R61" s="10"/>
    </row>
    <row r="62" spans="2:18" x14ac:dyDescent="0.2">
      <c r="B62" s="9" t="s">
        <v>15</v>
      </c>
      <c r="F62" s="11">
        <v>5.7</v>
      </c>
      <c r="K62" s="25" t="s">
        <v>14</v>
      </c>
      <c r="L62" s="31"/>
      <c r="M62" s="31"/>
      <c r="N62" s="31"/>
      <c r="O62" s="31"/>
      <c r="P62" s="31"/>
      <c r="Q62" s="31"/>
      <c r="R62" s="10"/>
    </row>
    <row r="63" spans="2:18" x14ac:dyDescent="0.2">
      <c r="B63" s="9" t="s">
        <v>16</v>
      </c>
      <c r="F63" s="16">
        <v>115</v>
      </c>
      <c r="K63" s="9" t="s">
        <v>15</v>
      </c>
      <c r="L63" s="31"/>
      <c r="M63" s="30">
        <v>4.5</v>
      </c>
      <c r="N63" s="30">
        <v>5</v>
      </c>
      <c r="O63" s="30">
        <v>5.5</v>
      </c>
      <c r="P63" s="30">
        <v>6</v>
      </c>
      <c r="Q63" s="30">
        <v>6.5</v>
      </c>
      <c r="R63" s="11">
        <v>7</v>
      </c>
    </row>
    <row r="64" spans="2:18" x14ac:dyDescent="0.2">
      <c r="B64" s="9" t="s">
        <v>17</v>
      </c>
      <c r="F64" s="28">
        <f>F63*F62</f>
        <v>655.5</v>
      </c>
      <c r="K64" s="9" t="s">
        <v>16</v>
      </c>
      <c r="L64" s="31"/>
      <c r="M64" s="31">
        <v>115</v>
      </c>
      <c r="N64" s="31">
        <v>115</v>
      </c>
      <c r="O64" s="31">
        <v>115</v>
      </c>
      <c r="P64" s="31">
        <v>115</v>
      </c>
      <c r="Q64" s="31">
        <v>115</v>
      </c>
      <c r="R64" s="10">
        <v>115</v>
      </c>
    </row>
    <row r="65" spans="2:18" x14ac:dyDescent="0.2">
      <c r="B65" s="9"/>
      <c r="F65" s="10"/>
      <c r="K65" s="9" t="s">
        <v>17</v>
      </c>
      <c r="L65" s="31"/>
      <c r="M65" s="32">
        <f>M64*M63</f>
        <v>517.5</v>
      </c>
      <c r="N65" s="32">
        <f>N64*N63</f>
        <v>575</v>
      </c>
      <c r="O65" s="32">
        <f>O64*O63</f>
        <v>632.5</v>
      </c>
      <c r="P65" s="32">
        <f>P64*P63</f>
        <v>690</v>
      </c>
      <c r="Q65" s="32">
        <f>Q64*Q63</f>
        <v>747.5</v>
      </c>
      <c r="R65" s="28">
        <f>R64*R63</f>
        <v>805</v>
      </c>
    </row>
    <row r="66" spans="2:18" x14ac:dyDescent="0.2">
      <c r="B66" s="25" t="s">
        <v>18</v>
      </c>
      <c r="F66" s="16"/>
      <c r="K66" s="9"/>
      <c r="L66" s="31"/>
      <c r="M66" s="31"/>
      <c r="N66" s="31"/>
      <c r="O66" s="31"/>
      <c r="P66" s="31"/>
      <c r="Q66" s="31"/>
      <c r="R66" s="10"/>
    </row>
    <row r="67" spans="2:18" x14ac:dyDescent="0.2">
      <c r="B67" s="9" t="s">
        <v>19</v>
      </c>
      <c r="F67" s="28">
        <f>F64-F41</f>
        <v>112.03906792500004</v>
      </c>
      <c r="K67" s="25" t="s">
        <v>18</v>
      </c>
      <c r="L67" s="31"/>
      <c r="M67" s="31"/>
      <c r="N67" s="31"/>
      <c r="O67" s="31"/>
      <c r="P67" s="31"/>
      <c r="Q67" s="31"/>
      <c r="R67" s="10"/>
    </row>
    <row r="68" spans="2:18" x14ac:dyDescent="0.2">
      <c r="B68" s="9" t="s">
        <v>22</v>
      </c>
      <c r="F68" s="28">
        <f>F64-F58</f>
        <v>-215.79008407499987</v>
      </c>
      <c r="K68" s="9" t="s">
        <v>19</v>
      </c>
      <c r="L68" s="31"/>
      <c r="M68" s="32">
        <f>M65-$F$41</f>
        <v>-25.96093207499996</v>
      </c>
      <c r="N68" s="32">
        <f>N65-$F$41</f>
        <v>31.53906792500004</v>
      </c>
      <c r="O68" s="32">
        <f>O65-$F$41</f>
        <v>89.03906792500004</v>
      </c>
      <c r="P68" s="32">
        <f>P65-$F$41</f>
        <v>146.53906792500004</v>
      </c>
      <c r="Q68" s="32">
        <f>Q65-$F$41</f>
        <v>204.03906792500004</v>
      </c>
      <c r="R68" s="28">
        <f>R65-$F$41</f>
        <v>261.53906792500004</v>
      </c>
    </row>
    <row r="69" spans="2:18" x14ac:dyDescent="0.2">
      <c r="B69" s="9" t="s">
        <v>84</v>
      </c>
      <c r="F69" s="18">
        <f>(F67/F41)</f>
        <v>0.20615845834073343</v>
      </c>
      <c r="K69" s="9" t="s">
        <v>22</v>
      </c>
      <c r="L69" s="31"/>
      <c r="M69" s="32">
        <f>M65-$F$58</f>
        <v>-353.79008407499987</v>
      </c>
      <c r="N69" s="32">
        <f>N65-$F$58</f>
        <v>-296.29008407499987</v>
      </c>
      <c r="O69" s="32">
        <f>O65-$F$58</f>
        <v>-238.79008407499987</v>
      </c>
      <c r="P69" s="32">
        <f>P65-$F$58</f>
        <v>-181.29008407499987</v>
      </c>
      <c r="Q69" s="32">
        <f>Q65-$F$58</f>
        <v>-123.79008407499987</v>
      </c>
      <c r="R69" s="28">
        <f>R65-$F$58</f>
        <v>-66.290084074999868</v>
      </c>
    </row>
    <row r="70" spans="2:18" x14ac:dyDescent="0.2">
      <c r="B70" s="9"/>
      <c r="F70" s="10"/>
      <c r="K70" s="9" t="s">
        <v>84</v>
      </c>
      <c r="L70" s="31"/>
      <c r="M70" s="33">
        <f>(M68/$F$41)</f>
        <v>-4.7769638152052554E-2</v>
      </c>
      <c r="N70" s="33">
        <f>(N68/$F$41)</f>
        <v>5.8033735386608276E-2</v>
      </c>
      <c r="O70" s="33">
        <f>(O68/$F$41)</f>
        <v>0.16383710892526909</v>
      </c>
      <c r="P70" s="33">
        <f>(P68/$F$41)</f>
        <v>0.26964048246392991</v>
      </c>
      <c r="Q70" s="33">
        <f>(Q68/$F$41)</f>
        <v>0.37544385600259078</v>
      </c>
      <c r="R70" s="18">
        <f>(R68/$F$41)</f>
        <v>0.4812472295412516</v>
      </c>
    </row>
    <row r="71" spans="2:18" x14ac:dyDescent="0.2">
      <c r="B71" s="27" t="s">
        <v>20</v>
      </c>
      <c r="F71" s="10"/>
      <c r="K71" s="9"/>
      <c r="L71" s="31"/>
      <c r="M71" s="31"/>
      <c r="N71" s="31"/>
      <c r="O71" s="31"/>
      <c r="P71" s="31"/>
      <c r="Q71" s="31"/>
      <c r="R71" s="10"/>
    </row>
    <row r="72" spans="2:18" x14ac:dyDescent="0.2">
      <c r="B72" s="25" t="s">
        <v>21</v>
      </c>
      <c r="F72" s="16"/>
      <c r="K72" s="27"/>
      <c r="L72" s="31"/>
      <c r="M72" s="31"/>
      <c r="N72" s="31"/>
      <c r="O72" s="31"/>
      <c r="P72" s="31"/>
      <c r="Q72" s="31"/>
      <c r="R72" s="10"/>
    </row>
    <row r="73" spans="2:18" x14ac:dyDescent="0.2">
      <c r="B73" s="9" t="s">
        <v>19</v>
      </c>
      <c r="F73" s="11">
        <v>4.7257472354347545</v>
      </c>
      <c r="K73" s="25" t="s">
        <v>14</v>
      </c>
      <c r="L73" s="31"/>
      <c r="M73" s="31"/>
      <c r="N73" s="31"/>
      <c r="O73" s="31"/>
      <c r="P73" s="31"/>
      <c r="Q73" s="31"/>
      <c r="R73" s="10"/>
    </row>
    <row r="74" spans="2:18" x14ac:dyDescent="0.2">
      <c r="B74" s="9" t="s">
        <v>22</v>
      </c>
      <c r="F74" s="11">
        <v>7.5764355136957091</v>
      </c>
      <c r="K74" s="9" t="s">
        <v>15</v>
      </c>
      <c r="L74" s="31"/>
      <c r="M74" s="30">
        <v>5.7</v>
      </c>
      <c r="N74" s="30">
        <v>5.7</v>
      </c>
      <c r="O74" s="30">
        <v>5.7</v>
      </c>
      <c r="P74" s="30">
        <v>5.7</v>
      </c>
      <c r="Q74" s="30">
        <v>5.7</v>
      </c>
      <c r="R74" s="11">
        <v>5.7</v>
      </c>
    </row>
    <row r="75" spans="2:18" x14ac:dyDescent="0.2">
      <c r="B75" s="9"/>
      <c r="F75" s="10"/>
      <c r="K75" s="9" t="s">
        <v>16</v>
      </c>
      <c r="L75" s="31"/>
      <c r="M75" s="31">
        <v>110</v>
      </c>
      <c r="N75" s="31">
        <v>120</v>
      </c>
      <c r="O75" s="31">
        <v>130</v>
      </c>
      <c r="P75" s="31">
        <v>140</v>
      </c>
      <c r="Q75" s="31">
        <v>150</v>
      </c>
      <c r="R75" s="10">
        <v>160</v>
      </c>
    </row>
    <row r="76" spans="2:18" x14ac:dyDescent="0.2">
      <c r="B76" s="25" t="s">
        <v>23</v>
      </c>
      <c r="F76" s="16"/>
      <c r="K76" s="9" t="s">
        <v>17</v>
      </c>
      <c r="L76" s="31"/>
      <c r="M76" s="32">
        <f>M75*M74</f>
        <v>627</v>
      </c>
      <c r="N76" s="32">
        <f>N75*N74</f>
        <v>684</v>
      </c>
      <c r="O76" s="32">
        <f>O75*O74</f>
        <v>741</v>
      </c>
      <c r="P76" s="32">
        <f>P75*P74</f>
        <v>798</v>
      </c>
      <c r="Q76" s="32">
        <f>Q75*Q74</f>
        <v>855</v>
      </c>
      <c r="R76" s="28">
        <f>R75*R74</f>
        <v>912</v>
      </c>
    </row>
    <row r="77" spans="2:18" x14ac:dyDescent="0.2">
      <c r="B77" s="9" t="s">
        <v>19</v>
      </c>
      <c r="F77" s="19">
        <v>92.513600123843091</v>
      </c>
      <c r="K77" s="9"/>
      <c r="L77" s="31"/>
      <c r="M77" s="31"/>
      <c r="N77" s="31"/>
      <c r="O77" s="31"/>
      <c r="P77" s="31"/>
      <c r="Q77" s="31"/>
      <c r="R77" s="10"/>
    </row>
    <row r="78" spans="2:18" x14ac:dyDescent="0.2">
      <c r="B78" s="14" t="s">
        <v>22</v>
      </c>
      <c r="C78" s="3"/>
      <c r="D78" s="3"/>
      <c r="E78" s="3"/>
      <c r="F78" s="20">
        <v>158.30933269393935</v>
      </c>
      <c r="K78" s="25" t="s">
        <v>18</v>
      </c>
      <c r="L78" s="31"/>
      <c r="M78" s="31"/>
      <c r="N78" s="31"/>
      <c r="O78" s="31"/>
      <c r="P78" s="31"/>
      <c r="Q78" s="31"/>
      <c r="R78" s="10"/>
    </row>
    <row r="79" spans="2:18" x14ac:dyDescent="0.2">
      <c r="K79" s="9" t="s">
        <v>19</v>
      </c>
      <c r="L79" s="31"/>
      <c r="M79" s="32">
        <f>M76-$F$41</f>
        <v>83.53906792500004</v>
      </c>
      <c r="N79" s="32">
        <f>N76-$F$41</f>
        <v>140.53906792500004</v>
      </c>
      <c r="O79" s="32">
        <f>O76-$F$41</f>
        <v>197.53906792500004</v>
      </c>
      <c r="P79" s="32">
        <f>P76-$F$41</f>
        <v>254.53906792500004</v>
      </c>
      <c r="Q79" s="32">
        <f>Q76-$F$41</f>
        <v>311.53906792500004</v>
      </c>
      <c r="R79" s="28">
        <f>R76-$F$41</f>
        <v>368.53906792500004</v>
      </c>
    </row>
    <row r="80" spans="2:18" x14ac:dyDescent="0.2">
      <c r="K80" s="9" t="s">
        <v>22</v>
      </c>
      <c r="L80" s="31"/>
      <c r="M80" s="32">
        <f>M76-$F$58</f>
        <v>-244.29008407499987</v>
      </c>
      <c r="N80" s="32">
        <f>N76-$F$58</f>
        <v>-187.29008407499987</v>
      </c>
      <c r="O80" s="32">
        <f>O76-$F$58</f>
        <v>-130.29008407499987</v>
      </c>
      <c r="P80" s="32">
        <f>P76-$F$58</f>
        <v>-73.290084074999868</v>
      </c>
      <c r="Q80" s="32">
        <f>Q76-$F$58</f>
        <v>-16.290084074999868</v>
      </c>
      <c r="R80" s="28">
        <f>R76-$F$58</f>
        <v>40.709915925000132</v>
      </c>
    </row>
    <row r="81" spans="11:18" x14ac:dyDescent="0.2">
      <c r="K81" s="14" t="s">
        <v>84</v>
      </c>
      <c r="L81" s="3"/>
      <c r="M81" s="35">
        <f>(M79/$F$41)</f>
        <v>0.1537167862389624</v>
      </c>
      <c r="N81" s="35">
        <f>(N79/$F$41)</f>
        <v>0.25860013044250446</v>
      </c>
      <c r="O81" s="35">
        <f>(O79/$F$41)</f>
        <v>0.36348347464604647</v>
      </c>
      <c r="P81" s="35">
        <f>(P79/$F$41)</f>
        <v>0.46836681884958853</v>
      </c>
      <c r="Q81" s="35">
        <f>(Q79/$F$41)</f>
        <v>0.57325016305313059</v>
      </c>
      <c r="R81" s="36">
        <f>(R79/$F$41)</f>
        <v>0.67813350725667265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AC87B-C364-6046-96C6-99F760592D05}">
  <dimension ref="B2:R81"/>
  <sheetViews>
    <sheetView topLeftCell="B35" zoomScale="80" zoomScaleNormal="80" workbookViewId="0">
      <selection activeCell="N85" sqref="N85"/>
    </sheetView>
  </sheetViews>
  <sheetFormatPr baseColWidth="10" defaultRowHeight="16" x14ac:dyDescent="0.2"/>
  <cols>
    <col min="2" max="2" width="33.33203125" customWidth="1"/>
    <col min="3" max="3" width="16.1640625" customWidth="1"/>
    <col min="4" max="4" width="7.6640625" customWidth="1"/>
    <col min="5" max="7" width="20.83203125" customWidth="1"/>
    <col min="11" max="11" width="24.33203125" customWidth="1"/>
    <col min="13" max="14" width="10.83203125" customWidth="1"/>
  </cols>
  <sheetData>
    <row r="2" spans="2:13" x14ac:dyDescent="0.2">
      <c r="B2" s="6" t="s">
        <v>98</v>
      </c>
      <c r="C2" s="7"/>
      <c r="D2" s="7"/>
      <c r="E2" s="7"/>
      <c r="F2" s="8"/>
    </row>
    <row r="3" spans="2:13" x14ac:dyDescent="0.2">
      <c r="B3" s="9"/>
      <c r="F3" s="10"/>
    </row>
    <row r="4" spans="2:13" x14ac:dyDescent="0.2">
      <c r="B4" s="9" t="s">
        <v>0</v>
      </c>
      <c r="F4" s="10"/>
    </row>
    <row r="5" spans="2:13" x14ac:dyDescent="0.2">
      <c r="B5" s="9" t="s">
        <v>1</v>
      </c>
      <c r="F5" s="10"/>
    </row>
    <row r="6" spans="2:13" x14ac:dyDescent="0.2">
      <c r="B6" s="9" t="s">
        <v>2</v>
      </c>
      <c r="F6" s="10"/>
    </row>
    <row r="7" spans="2:13" x14ac:dyDescent="0.2">
      <c r="B7" s="9" t="s">
        <v>5</v>
      </c>
      <c r="F7" s="10"/>
    </row>
    <row r="8" spans="2:13" x14ac:dyDescent="0.2">
      <c r="B8" s="9"/>
      <c r="F8" s="10"/>
    </row>
    <row r="9" spans="2:13" x14ac:dyDescent="0.2">
      <c r="B9" s="9"/>
      <c r="F9" s="10"/>
    </row>
    <row r="10" spans="2:13" ht="30" customHeight="1" x14ac:dyDescent="0.2">
      <c r="B10" s="24" t="s">
        <v>4</v>
      </c>
      <c r="F10" s="10"/>
    </row>
    <row r="11" spans="2:13" ht="20" customHeight="1" x14ac:dyDescent="0.2">
      <c r="B11" s="24" t="s">
        <v>6</v>
      </c>
      <c r="F11" s="10"/>
    </row>
    <row r="12" spans="2:13" x14ac:dyDescent="0.2">
      <c r="B12" s="9"/>
      <c r="C12" t="s">
        <v>24</v>
      </c>
      <c r="D12" t="s">
        <v>25</v>
      </c>
      <c r="E12" t="s">
        <v>26</v>
      </c>
      <c r="F12" s="10" t="s">
        <v>27</v>
      </c>
    </row>
    <row r="13" spans="2:13" x14ac:dyDescent="0.2">
      <c r="B13" s="24" t="s">
        <v>7</v>
      </c>
      <c r="C13">
        <v>2.5</v>
      </c>
      <c r="D13" t="s">
        <v>28</v>
      </c>
      <c r="E13">
        <v>14</v>
      </c>
      <c r="F13" s="10">
        <f>C13*E13</f>
        <v>35</v>
      </c>
    </row>
    <row r="14" spans="2:13" x14ac:dyDescent="0.2">
      <c r="B14" s="24" t="s">
        <v>8</v>
      </c>
      <c r="F14" s="10"/>
      <c r="M14" s="5"/>
    </row>
    <row r="15" spans="2:13" x14ac:dyDescent="0.2">
      <c r="B15" s="9" t="s">
        <v>76</v>
      </c>
      <c r="C15">
        <v>75</v>
      </c>
      <c r="D15" t="s">
        <v>29</v>
      </c>
      <c r="E15" s="5">
        <f>0.42*2.13</f>
        <v>0.89459999999999995</v>
      </c>
      <c r="F15" s="11">
        <f>C15*E15</f>
        <v>67.094999999999999</v>
      </c>
      <c r="M15" s="5"/>
    </row>
    <row r="16" spans="2:13" x14ac:dyDescent="0.2">
      <c r="B16" s="9" t="s">
        <v>77</v>
      </c>
      <c r="C16">
        <v>30</v>
      </c>
      <c r="D16" t="s">
        <v>29</v>
      </c>
      <c r="E16" s="5">
        <f>0.41*2.13</f>
        <v>0.87329999999999985</v>
      </c>
      <c r="F16" s="11">
        <f t="shared" ref="F16:F17" si="0">C16*E16</f>
        <v>26.198999999999995</v>
      </c>
      <c r="M16" s="5"/>
    </row>
    <row r="17" spans="2:13" x14ac:dyDescent="0.2">
      <c r="B17" s="9" t="s">
        <v>78</v>
      </c>
      <c r="C17">
        <v>10</v>
      </c>
      <c r="D17" t="s">
        <v>29</v>
      </c>
      <c r="E17" s="5">
        <f>0.31*2.13</f>
        <v>0.6603</v>
      </c>
      <c r="F17" s="11">
        <f t="shared" si="0"/>
        <v>6.6029999999999998</v>
      </c>
      <c r="M17" s="5"/>
    </row>
    <row r="18" spans="2:13" x14ac:dyDescent="0.2">
      <c r="B18" s="24" t="s">
        <v>30</v>
      </c>
      <c r="F18" s="10"/>
      <c r="M18" s="5"/>
    </row>
    <row r="19" spans="2:13" x14ac:dyDescent="0.2">
      <c r="B19" s="9" t="s">
        <v>41</v>
      </c>
      <c r="C19">
        <v>16.399999999999999</v>
      </c>
      <c r="D19" t="s">
        <v>45</v>
      </c>
      <c r="E19" s="5">
        <f>170/128</f>
        <v>1.328125</v>
      </c>
      <c r="F19" s="11">
        <f>E19*C19</f>
        <v>21.781249999999996</v>
      </c>
      <c r="M19" s="5"/>
    </row>
    <row r="20" spans="2:13" x14ac:dyDescent="0.2">
      <c r="B20" s="9" t="s">
        <v>42</v>
      </c>
      <c r="C20">
        <v>0.6</v>
      </c>
      <c r="D20" t="s">
        <v>46</v>
      </c>
      <c r="E20">
        <v>10</v>
      </c>
      <c r="F20" s="11">
        <f>E20*C20</f>
        <v>6</v>
      </c>
      <c r="M20" s="5"/>
    </row>
    <row r="21" spans="2:13" x14ac:dyDescent="0.2">
      <c r="B21" s="9" t="s">
        <v>43</v>
      </c>
      <c r="C21">
        <v>0.3</v>
      </c>
      <c r="D21" t="s">
        <v>47</v>
      </c>
      <c r="E21">
        <v>32</v>
      </c>
      <c r="F21" s="11">
        <f>E21*C21</f>
        <v>9.6</v>
      </c>
    </row>
    <row r="22" spans="2:13" x14ac:dyDescent="0.2">
      <c r="B22" s="24" t="s">
        <v>44</v>
      </c>
      <c r="C22">
        <v>7</v>
      </c>
      <c r="D22" t="s">
        <v>45</v>
      </c>
      <c r="E22" s="5">
        <f>1.65*2.13</f>
        <v>3.5144999999999995</v>
      </c>
      <c r="F22" s="11">
        <f>E22*C22</f>
        <v>24.601499999999998</v>
      </c>
    </row>
    <row r="23" spans="2:13" x14ac:dyDescent="0.2">
      <c r="B23" s="24" t="s">
        <v>31</v>
      </c>
      <c r="F23" s="10"/>
    </row>
    <row r="24" spans="2:13" x14ac:dyDescent="0.2">
      <c r="B24" s="9" t="s">
        <v>33</v>
      </c>
      <c r="C24">
        <v>20</v>
      </c>
      <c r="D24" t="s">
        <v>52</v>
      </c>
      <c r="E24">
        <v>1.73</v>
      </c>
      <c r="F24" s="11">
        <f>C24*E24</f>
        <v>34.6</v>
      </c>
    </row>
    <row r="25" spans="2:13" x14ac:dyDescent="0.2">
      <c r="B25" s="9" t="s">
        <v>89</v>
      </c>
      <c r="C25">
        <v>1</v>
      </c>
      <c r="D25" t="s">
        <v>53</v>
      </c>
      <c r="E25">
        <v>64.92</v>
      </c>
      <c r="F25" s="11">
        <f>C25*E25</f>
        <v>64.92</v>
      </c>
    </row>
    <row r="26" spans="2:13" x14ac:dyDescent="0.2">
      <c r="B26" s="9" t="s">
        <v>34</v>
      </c>
      <c r="C26">
        <v>20</v>
      </c>
      <c r="D26" t="s">
        <v>52</v>
      </c>
      <c r="E26" s="5">
        <f>0.55*1.2475</f>
        <v>0.6861250000000001</v>
      </c>
      <c r="F26" s="11">
        <f>C26*E26</f>
        <v>13.722500000000002</v>
      </c>
    </row>
    <row r="27" spans="2:13" x14ac:dyDescent="0.2">
      <c r="B27" s="24" t="s">
        <v>35</v>
      </c>
      <c r="F27" s="10"/>
    </row>
    <row r="28" spans="2:13" x14ac:dyDescent="0.2">
      <c r="B28" s="9" t="s">
        <v>36</v>
      </c>
      <c r="C28">
        <v>2.88</v>
      </c>
      <c r="D28" t="s">
        <v>54</v>
      </c>
      <c r="E28">
        <v>4.4000000000000004</v>
      </c>
      <c r="F28" s="11">
        <f>C28*E28</f>
        <v>12.672000000000001</v>
      </c>
    </row>
    <row r="29" spans="2:13" x14ac:dyDescent="0.2">
      <c r="B29" s="9" t="s">
        <v>37</v>
      </c>
      <c r="C29">
        <v>5.32</v>
      </c>
      <c r="D29" t="s">
        <v>54</v>
      </c>
      <c r="E29">
        <v>5.08</v>
      </c>
      <c r="F29" s="11">
        <f t="shared" ref="F29:F30" si="1">C29*E29</f>
        <v>27.025600000000001</v>
      </c>
    </row>
    <row r="30" spans="2:13" x14ac:dyDescent="0.2">
      <c r="B30" s="9" t="s">
        <v>38</v>
      </c>
      <c r="C30">
        <v>0.16</v>
      </c>
      <c r="D30" s="2" t="s">
        <v>54</v>
      </c>
      <c r="E30">
        <v>5.4</v>
      </c>
      <c r="F30" s="11">
        <f>C30*E30</f>
        <v>0.8640000000000001</v>
      </c>
    </row>
    <row r="31" spans="2:13" ht="16" customHeight="1" x14ac:dyDescent="0.2">
      <c r="B31" s="9" t="s">
        <v>39</v>
      </c>
      <c r="C31" s="2"/>
      <c r="F31" s="11">
        <f>3.76*1.2475</f>
        <v>4.6905999999999999</v>
      </c>
    </row>
    <row r="32" spans="2:13" x14ac:dyDescent="0.2">
      <c r="B32" s="9" t="s">
        <v>40</v>
      </c>
      <c r="C32" s="2"/>
      <c r="F32" s="11">
        <f>15.07*1.2475</f>
        <v>18.799825000000002</v>
      </c>
    </row>
    <row r="33" spans="2:7" x14ac:dyDescent="0.2">
      <c r="B33" s="24" t="s">
        <v>48</v>
      </c>
      <c r="C33" s="2"/>
      <c r="D33" s="12"/>
      <c r="E33" s="12"/>
      <c r="F33" s="10"/>
    </row>
    <row r="34" spans="2:7" x14ac:dyDescent="0.2">
      <c r="B34" s="9" t="s">
        <v>49</v>
      </c>
      <c r="C34" s="13">
        <v>2</v>
      </c>
      <c r="D34" t="s">
        <v>53</v>
      </c>
      <c r="E34" s="5">
        <f>7.5*1.9248</f>
        <v>14.436</v>
      </c>
      <c r="F34" s="11">
        <f>C34*E34</f>
        <v>28.872</v>
      </c>
    </row>
    <row r="35" spans="2:7" x14ac:dyDescent="0.2">
      <c r="B35" s="9" t="s">
        <v>50</v>
      </c>
      <c r="C35" s="13">
        <v>1</v>
      </c>
      <c r="D35" t="s">
        <v>53</v>
      </c>
      <c r="E35" s="5">
        <f>7.5*1.9248</f>
        <v>14.436</v>
      </c>
      <c r="F35" s="11">
        <f t="shared" ref="F35:F36" si="2">C35*E35</f>
        <v>14.436</v>
      </c>
    </row>
    <row r="36" spans="2:7" ht="16" customHeight="1" x14ac:dyDescent="0.2">
      <c r="B36" s="9" t="s">
        <v>51</v>
      </c>
      <c r="C36" s="13">
        <f>F63</f>
        <v>115</v>
      </c>
      <c r="D36" t="s">
        <v>28</v>
      </c>
      <c r="E36" s="5">
        <f>0.35*1.9248</f>
        <v>0.67367999999999995</v>
      </c>
      <c r="F36" s="11">
        <f t="shared" si="2"/>
        <v>77.473199999999991</v>
      </c>
    </row>
    <row r="37" spans="2:7" ht="16" customHeight="1" x14ac:dyDescent="0.2">
      <c r="B37" s="24" t="s">
        <v>9</v>
      </c>
      <c r="C37" s="2"/>
      <c r="F37" s="11">
        <f>15*1.9248</f>
        <v>28.872</v>
      </c>
    </row>
    <row r="38" spans="2:7" x14ac:dyDescent="0.2">
      <c r="B38" s="24" t="s">
        <v>10</v>
      </c>
      <c r="C38" s="2"/>
      <c r="D38" s="12"/>
      <c r="E38" s="12"/>
      <c r="F38" s="10">
        <v>0</v>
      </c>
    </row>
    <row r="39" spans="2:7" x14ac:dyDescent="0.2">
      <c r="B39" s="24" t="s">
        <v>11</v>
      </c>
      <c r="C39" s="2"/>
      <c r="F39" s="10">
        <v>18.77</v>
      </c>
    </row>
    <row r="40" spans="2:7" x14ac:dyDescent="0.2">
      <c r="B40" s="25" t="s">
        <v>12</v>
      </c>
      <c r="F40" s="15">
        <f>SUM(F13:F39)*0.065</f>
        <v>35.268835874999994</v>
      </c>
      <c r="G40" s="4"/>
    </row>
    <row r="41" spans="2:7" ht="16" customHeight="1" x14ac:dyDescent="0.2">
      <c r="B41" s="24" t="s">
        <v>55</v>
      </c>
      <c r="F41" s="28">
        <f>SUM(F13:F40)</f>
        <v>577.86631087499995</v>
      </c>
    </row>
    <row r="42" spans="2:7" x14ac:dyDescent="0.2">
      <c r="B42" s="9"/>
      <c r="F42" s="10"/>
    </row>
    <row r="43" spans="2:7" x14ac:dyDescent="0.2">
      <c r="B43" s="26" t="s">
        <v>56</v>
      </c>
      <c r="F43" s="10"/>
    </row>
    <row r="44" spans="2:7" x14ac:dyDescent="0.2">
      <c r="B44" s="9" t="s">
        <v>57</v>
      </c>
      <c r="F44" s="11">
        <f>12*1.9248</f>
        <v>23.0976</v>
      </c>
    </row>
    <row r="45" spans="2:7" x14ac:dyDescent="0.2">
      <c r="B45" s="9" t="s">
        <v>58</v>
      </c>
      <c r="F45" s="11">
        <v>147</v>
      </c>
    </row>
    <row r="46" spans="2:7" x14ac:dyDescent="0.2">
      <c r="B46" s="9" t="s">
        <v>59</v>
      </c>
      <c r="F46" s="11">
        <f>39*1.9248</f>
        <v>75.0672</v>
      </c>
    </row>
    <row r="47" spans="2:7" ht="16" customHeight="1" x14ac:dyDescent="0.2">
      <c r="B47" s="9" t="s">
        <v>60</v>
      </c>
      <c r="F47" s="10">
        <v>0</v>
      </c>
    </row>
    <row r="48" spans="2:7" x14ac:dyDescent="0.2">
      <c r="B48" s="9" t="s">
        <v>61</v>
      </c>
      <c r="E48" s="12"/>
      <c r="F48" s="11">
        <f>1.47*1.9248</f>
        <v>2.829456</v>
      </c>
    </row>
    <row r="49" spans="2:18" x14ac:dyDescent="0.2">
      <c r="B49" s="14" t="s">
        <v>62</v>
      </c>
      <c r="F49" s="16">
        <v>0</v>
      </c>
    </row>
    <row r="50" spans="2:18" x14ac:dyDescent="0.2">
      <c r="B50" s="24" t="s">
        <v>63</v>
      </c>
      <c r="F50" s="28">
        <f>SUM(F43:F49)</f>
        <v>247.99425600000001</v>
      </c>
    </row>
    <row r="51" spans="2:18" ht="16" customHeight="1" x14ac:dyDescent="0.2">
      <c r="B51" s="9"/>
      <c r="F51" s="10"/>
    </row>
    <row r="52" spans="2:18" x14ac:dyDescent="0.2">
      <c r="B52" s="24" t="s">
        <v>65</v>
      </c>
      <c r="F52" s="10"/>
    </row>
    <row r="53" spans="2:18" x14ac:dyDescent="0.2">
      <c r="B53" s="9" t="s">
        <v>66</v>
      </c>
      <c r="F53" s="10">
        <v>48.53</v>
      </c>
    </row>
    <row r="54" spans="2:18" x14ac:dyDescent="0.2">
      <c r="B54" s="9"/>
      <c r="F54" s="10"/>
    </row>
    <row r="55" spans="2:18" x14ac:dyDescent="0.2">
      <c r="B55" s="27" t="s">
        <v>64</v>
      </c>
      <c r="F55" s="10"/>
    </row>
    <row r="56" spans="2:18" x14ac:dyDescent="0.2">
      <c r="B56" s="17" t="s">
        <v>67</v>
      </c>
      <c r="C56" s="12"/>
      <c r="D56" s="12"/>
      <c r="F56" s="11">
        <v>25</v>
      </c>
    </row>
    <row r="57" spans="2:18" x14ac:dyDescent="0.2">
      <c r="B57" s="17"/>
      <c r="F57" s="10"/>
    </row>
    <row r="58" spans="2:18" x14ac:dyDescent="0.2">
      <c r="B58" s="27" t="s">
        <v>68</v>
      </c>
      <c r="F58" s="29">
        <f>F41+F50+F53+F56</f>
        <v>899.39056687499988</v>
      </c>
    </row>
    <row r="59" spans="2:18" x14ac:dyDescent="0.2">
      <c r="B59" s="9"/>
      <c r="F59" s="10"/>
    </row>
    <row r="60" spans="2:18" x14ac:dyDescent="0.2">
      <c r="B60" s="27" t="s">
        <v>13</v>
      </c>
      <c r="F60" s="10"/>
      <c r="K60" s="34" t="s">
        <v>100</v>
      </c>
      <c r="L60" s="7"/>
      <c r="M60" s="7"/>
      <c r="N60" s="7"/>
      <c r="O60" s="7"/>
      <c r="P60" s="7"/>
      <c r="Q60" s="7"/>
      <c r="R60" s="8"/>
    </row>
    <row r="61" spans="2:18" x14ac:dyDescent="0.2">
      <c r="B61" s="25" t="s">
        <v>14</v>
      </c>
      <c r="F61" s="10"/>
      <c r="K61" s="9"/>
      <c r="L61" s="31"/>
      <c r="M61" s="31"/>
      <c r="N61" s="31"/>
      <c r="O61" s="31"/>
      <c r="P61" s="31"/>
      <c r="Q61" s="31"/>
      <c r="R61" s="10"/>
    </row>
    <row r="62" spans="2:18" x14ac:dyDescent="0.2">
      <c r="B62" s="9" t="s">
        <v>15</v>
      </c>
      <c r="F62" s="11">
        <v>5.7</v>
      </c>
      <c r="K62" s="25" t="s">
        <v>14</v>
      </c>
      <c r="L62" s="31"/>
      <c r="M62" s="31"/>
      <c r="N62" s="31"/>
      <c r="O62" s="31"/>
      <c r="P62" s="31"/>
      <c r="Q62" s="31"/>
      <c r="R62" s="10"/>
    </row>
    <row r="63" spans="2:18" x14ac:dyDescent="0.2">
      <c r="B63" s="9" t="s">
        <v>16</v>
      </c>
      <c r="F63" s="16">
        <v>115</v>
      </c>
      <c r="K63" s="9" t="s">
        <v>15</v>
      </c>
      <c r="L63" s="31"/>
      <c r="M63" s="30">
        <v>4.5</v>
      </c>
      <c r="N63" s="30">
        <v>5</v>
      </c>
      <c r="O63" s="30">
        <v>5.5</v>
      </c>
      <c r="P63" s="30">
        <v>6</v>
      </c>
      <c r="Q63" s="30">
        <v>6.5</v>
      </c>
      <c r="R63" s="11">
        <v>7</v>
      </c>
    </row>
    <row r="64" spans="2:18" x14ac:dyDescent="0.2">
      <c r="B64" s="9" t="s">
        <v>17</v>
      </c>
      <c r="F64" s="28">
        <f>F63*F62</f>
        <v>655.5</v>
      </c>
      <c r="K64" s="9" t="s">
        <v>16</v>
      </c>
      <c r="L64" s="31"/>
      <c r="M64" s="31">
        <v>115</v>
      </c>
      <c r="N64" s="31">
        <v>115</v>
      </c>
      <c r="O64" s="31">
        <v>115</v>
      </c>
      <c r="P64" s="31">
        <v>115</v>
      </c>
      <c r="Q64" s="31">
        <v>115</v>
      </c>
      <c r="R64" s="10">
        <v>115</v>
      </c>
    </row>
    <row r="65" spans="2:18" x14ac:dyDescent="0.2">
      <c r="B65" s="9"/>
      <c r="F65" s="10"/>
      <c r="K65" s="9" t="s">
        <v>17</v>
      </c>
      <c r="L65" s="31"/>
      <c r="M65" s="32">
        <f>M64*M63</f>
        <v>517.5</v>
      </c>
      <c r="N65" s="32">
        <f>N64*N63</f>
        <v>575</v>
      </c>
      <c r="O65" s="32">
        <f>O64*O63</f>
        <v>632.5</v>
      </c>
      <c r="P65" s="32">
        <f>P64*P63</f>
        <v>690</v>
      </c>
      <c r="Q65" s="32">
        <f>Q64*Q63</f>
        <v>747.5</v>
      </c>
      <c r="R65" s="28">
        <f>R64*R63</f>
        <v>805</v>
      </c>
    </row>
    <row r="66" spans="2:18" x14ac:dyDescent="0.2">
      <c r="B66" s="25" t="s">
        <v>18</v>
      </c>
      <c r="F66" s="16"/>
      <c r="K66" s="9"/>
      <c r="L66" s="31"/>
      <c r="M66" s="31"/>
      <c r="N66" s="31"/>
      <c r="O66" s="31"/>
      <c r="P66" s="31"/>
      <c r="Q66" s="31"/>
      <c r="R66" s="10"/>
    </row>
    <row r="67" spans="2:18" x14ac:dyDescent="0.2">
      <c r="B67" s="9" t="s">
        <v>19</v>
      </c>
      <c r="F67" s="28">
        <f>F64-F41</f>
        <v>77.633689125000046</v>
      </c>
      <c r="K67" s="25" t="s">
        <v>18</v>
      </c>
      <c r="L67" s="31"/>
      <c r="M67" s="31"/>
      <c r="N67" s="31"/>
      <c r="O67" s="31"/>
      <c r="P67" s="31"/>
      <c r="Q67" s="31"/>
      <c r="R67" s="10"/>
    </row>
    <row r="68" spans="2:18" x14ac:dyDescent="0.2">
      <c r="B68" s="9" t="s">
        <v>22</v>
      </c>
      <c r="F68" s="28">
        <f>F64-F58</f>
        <v>-243.89056687499988</v>
      </c>
      <c r="K68" s="9" t="s">
        <v>19</v>
      </c>
      <c r="L68" s="31"/>
      <c r="M68" s="32">
        <f>M65-$F$41</f>
        <v>-60.366310874999954</v>
      </c>
      <c r="N68" s="32">
        <f>N65-$F$41</f>
        <v>-2.8663108749999537</v>
      </c>
      <c r="O68" s="32">
        <f>O65-$F$41</f>
        <v>54.633689125000046</v>
      </c>
      <c r="P68" s="32">
        <f>P65-$F$41</f>
        <v>112.13368912500005</v>
      </c>
      <c r="Q68" s="32">
        <f>Q65-$F$41</f>
        <v>169.63368912500005</v>
      </c>
      <c r="R68" s="28">
        <f>R65-$F$41</f>
        <v>227.13368912500005</v>
      </c>
    </row>
    <row r="69" spans="2:18" x14ac:dyDescent="0.2">
      <c r="B69" s="9" t="s">
        <v>84</v>
      </c>
      <c r="F69" s="18">
        <f>(F67/F41)</f>
        <v>0.13434541461233104</v>
      </c>
      <c r="K69" s="9" t="s">
        <v>22</v>
      </c>
      <c r="L69" s="31"/>
      <c r="M69" s="32">
        <f>M65-$F$58</f>
        <v>-381.89056687499988</v>
      </c>
      <c r="N69" s="32">
        <f>N65-$F$58</f>
        <v>-324.39056687499988</v>
      </c>
      <c r="O69" s="32">
        <f>O65-$F$58</f>
        <v>-266.89056687499988</v>
      </c>
      <c r="P69" s="32">
        <f>P65-$F$58</f>
        <v>-209.39056687499988</v>
      </c>
      <c r="Q69" s="32">
        <f>Q65-$F$58</f>
        <v>-151.89056687499988</v>
      </c>
      <c r="R69" s="28">
        <f>R65-$F$58</f>
        <v>-94.390566874999877</v>
      </c>
    </row>
    <row r="70" spans="2:18" x14ac:dyDescent="0.2">
      <c r="B70" s="9"/>
      <c r="F70" s="10"/>
      <c r="K70" s="9" t="s">
        <v>84</v>
      </c>
      <c r="L70" s="31"/>
      <c r="M70" s="33">
        <f>(M68/$F$41)</f>
        <v>-0.10446414635868603</v>
      </c>
      <c r="N70" s="33">
        <f>(N68/$F$41)</f>
        <v>-4.9601626207622512E-3</v>
      </c>
      <c r="O70" s="33">
        <f>(O68/$F$41)</f>
        <v>9.4543821117161517E-2</v>
      </c>
      <c r="P70" s="33">
        <f>(P68/$F$41)</f>
        <v>0.1940478048550853</v>
      </c>
      <c r="Q70" s="33">
        <f>(Q68/$F$41)</f>
        <v>0.29355178859300907</v>
      </c>
      <c r="R70" s="18">
        <f>(R68/$F$41)</f>
        <v>0.39305577233093286</v>
      </c>
    </row>
    <row r="71" spans="2:18" x14ac:dyDescent="0.2">
      <c r="B71" s="27" t="s">
        <v>20</v>
      </c>
      <c r="F71" s="10"/>
      <c r="K71" s="9"/>
      <c r="L71" s="31"/>
      <c r="M71" s="31"/>
      <c r="N71" s="31"/>
      <c r="O71" s="31"/>
      <c r="P71" s="31"/>
      <c r="Q71" s="31"/>
      <c r="R71" s="10"/>
    </row>
    <row r="72" spans="2:18" x14ac:dyDescent="0.2">
      <c r="B72" s="25" t="s">
        <v>21</v>
      </c>
      <c r="F72" s="16"/>
      <c r="K72" s="27"/>
      <c r="L72" s="31"/>
      <c r="M72" s="31"/>
      <c r="N72" s="31"/>
      <c r="O72" s="31"/>
      <c r="P72" s="31"/>
      <c r="Q72" s="31"/>
      <c r="R72" s="10"/>
    </row>
    <row r="73" spans="2:18" x14ac:dyDescent="0.2">
      <c r="B73" s="9" t="s">
        <v>19</v>
      </c>
      <c r="F73" s="11">
        <v>5.0249237673157472</v>
      </c>
      <c r="K73" s="25" t="s">
        <v>14</v>
      </c>
      <c r="L73" s="31"/>
      <c r="M73" s="31"/>
      <c r="N73" s="31"/>
      <c r="O73" s="31"/>
      <c r="P73" s="31"/>
      <c r="Q73" s="31"/>
      <c r="R73" s="10"/>
    </row>
    <row r="74" spans="2:18" x14ac:dyDescent="0.2">
      <c r="B74" s="9" t="s">
        <v>22</v>
      </c>
      <c r="F74" s="11">
        <v>7.8207875380433949</v>
      </c>
      <c r="K74" s="9" t="s">
        <v>15</v>
      </c>
      <c r="L74" s="31"/>
      <c r="M74" s="30">
        <v>5.7</v>
      </c>
      <c r="N74" s="30">
        <v>5.7</v>
      </c>
      <c r="O74" s="30">
        <v>5.7</v>
      </c>
      <c r="P74" s="30">
        <v>5.7</v>
      </c>
      <c r="Q74" s="30">
        <v>5.7</v>
      </c>
      <c r="R74" s="11">
        <v>5.7</v>
      </c>
    </row>
    <row r="75" spans="2:18" x14ac:dyDescent="0.2">
      <c r="B75" s="9"/>
      <c r="F75" s="10"/>
      <c r="K75" s="9" t="s">
        <v>16</v>
      </c>
      <c r="L75" s="31"/>
      <c r="M75" s="31">
        <v>110</v>
      </c>
      <c r="N75" s="31">
        <v>120</v>
      </c>
      <c r="O75" s="31">
        <v>130</v>
      </c>
      <c r="P75" s="31">
        <v>140</v>
      </c>
      <c r="Q75" s="31">
        <v>150</v>
      </c>
      <c r="R75" s="10">
        <v>160</v>
      </c>
    </row>
    <row r="76" spans="2:18" x14ac:dyDescent="0.2">
      <c r="B76" s="25" t="s">
        <v>23</v>
      </c>
      <c r="F76" s="10"/>
      <c r="K76" s="9" t="s">
        <v>17</v>
      </c>
      <c r="L76" s="31"/>
      <c r="M76" s="32">
        <f>M75*M74</f>
        <v>627</v>
      </c>
      <c r="N76" s="32">
        <f>N75*N74</f>
        <v>684</v>
      </c>
      <c r="O76" s="32">
        <f>O75*O74</f>
        <v>741</v>
      </c>
      <c r="P76" s="32">
        <f>P75*P74</f>
        <v>798</v>
      </c>
      <c r="Q76" s="32">
        <f>Q75*Q74</f>
        <v>855</v>
      </c>
      <c r="R76" s="28">
        <f>R75*R74</f>
        <v>912</v>
      </c>
    </row>
    <row r="77" spans="2:18" x14ac:dyDescent="0.2">
      <c r="B77" s="9" t="s">
        <v>19</v>
      </c>
      <c r="F77" s="19">
        <v>99.418808458005088</v>
      </c>
      <c r="K77" s="9"/>
      <c r="L77" s="31"/>
      <c r="M77" s="31"/>
      <c r="N77" s="31"/>
      <c r="O77" s="31"/>
      <c r="P77" s="31"/>
      <c r="Q77" s="31"/>
      <c r="R77" s="10"/>
    </row>
    <row r="78" spans="2:18" x14ac:dyDescent="0.2">
      <c r="B78" s="14" t="s">
        <v>22</v>
      </c>
      <c r="C78" s="3"/>
      <c r="D78" s="3"/>
      <c r="E78" s="3"/>
      <c r="F78" s="20">
        <v>163.94918276582791</v>
      </c>
      <c r="K78" s="25" t="s">
        <v>18</v>
      </c>
      <c r="L78" s="31"/>
      <c r="M78" s="31"/>
      <c r="N78" s="31"/>
      <c r="O78" s="31"/>
      <c r="P78" s="31"/>
      <c r="Q78" s="31"/>
      <c r="R78" s="10"/>
    </row>
    <row r="79" spans="2:18" x14ac:dyDescent="0.2">
      <c r="K79" s="9" t="s">
        <v>19</v>
      </c>
      <c r="L79" s="31"/>
      <c r="M79" s="32">
        <f>M76-$F$41</f>
        <v>49.133689125000046</v>
      </c>
      <c r="N79" s="32">
        <f>N76-$F$41</f>
        <v>106.13368912500005</v>
      </c>
      <c r="O79" s="32">
        <f>O76-$F$41</f>
        <v>163.13368912500005</v>
      </c>
      <c r="P79" s="32">
        <f>P76-$F$41</f>
        <v>220.13368912500005</v>
      </c>
      <c r="Q79" s="32">
        <f>Q76-$F$41</f>
        <v>277.13368912500005</v>
      </c>
      <c r="R79" s="28">
        <f>R76-$F$41</f>
        <v>334.13368912500005</v>
      </c>
    </row>
    <row r="80" spans="2:18" x14ac:dyDescent="0.2">
      <c r="K80" s="9" t="s">
        <v>22</v>
      </c>
      <c r="L80" s="31"/>
      <c r="M80" s="32">
        <f>M76-$F$58</f>
        <v>-272.39056687499988</v>
      </c>
      <c r="N80" s="32">
        <f>N76-$F$58</f>
        <v>-215.39056687499988</v>
      </c>
      <c r="O80" s="32">
        <f>O76-$F$58</f>
        <v>-158.39056687499988</v>
      </c>
      <c r="P80" s="32">
        <f>P76-$F$58</f>
        <v>-101.39056687499988</v>
      </c>
      <c r="Q80" s="32">
        <f>Q76-$F$58</f>
        <v>-44.390566874999877</v>
      </c>
      <c r="R80" s="28">
        <f>R76-$F$58</f>
        <v>12.609433125000123</v>
      </c>
    </row>
    <row r="81" spans="11:18" x14ac:dyDescent="0.2">
      <c r="K81" s="14" t="s">
        <v>84</v>
      </c>
      <c r="L81" s="3"/>
      <c r="M81" s="35">
        <f>(M79/$F$41)</f>
        <v>8.5026048759620984E-2</v>
      </c>
      <c r="N81" s="35">
        <f>(N79/$F$41)</f>
        <v>0.18366478046504109</v>
      </c>
      <c r="O81" s="35">
        <f>(O79/$F$41)</f>
        <v>0.28230351217046118</v>
      </c>
      <c r="P81" s="35">
        <f>(P79/$F$41)</f>
        <v>0.38094224387588127</v>
      </c>
      <c r="Q81" s="35">
        <f>(Q79/$F$41)</f>
        <v>0.47958097558130136</v>
      </c>
      <c r="R81" s="36">
        <f>(R79/$F$41)</f>
        <v>0.57821970728672145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9DF86-F5CC-8E44-945F-034D764F4ABB}">
  <dimension ref="B2:J78"/>
  <sheetViews>
    <sheetView zoomScale="80" zoomScaleNormal="80" workbookViewId="0">
      <selection activeCell="H29" sqref="H29"/>
    </sheetView>
  </sheetViews>
  <sheetFormatPr baseColWidth="10" defaultRowHeight="16" x14ac:dyDescent="0.2"/>
  <cols>
    <col min="2" max="2" width="33.33203125" customWidth="1"/>
    <col min="3" max="3" width="11" customWidth="1"/>
    <col min="4" max="6" width="20.83203125" customWidth="1"/>
    <col min="7" max="7" width="23.83203125" customWidth="1"/>
    <col min="8" max="8" width="20.83203125" customWidth="1"/>
    <col min="12" max="12" width="24.33203125" customWidth="1"/>
    <col min="14" max="14" width="14.6640625" customWidth="1"/>
    <col min="15" max="15" width="15.6640625" customWidth="1"/>
  </cols>
  <sheetData>
    <row r="2" spans="2:10" x14ac:dyDescent="0.2">
      <c r="B2" s="1" t="s">
        <v>3</v>
      </c>
      <c r="C2" s="1"/>
    </row>
    <row r="4" spans="2:10" x14ac:dyDescent="0.2">
      <c r="B4" t="s">
        <v>0</v>
      </c>
    </row>
    <row r="5" spans="2:10" x14ac:dyDescent="0.2">
      <c r="B5" t="s">
        <v>1</v>
      </c>
    </row>
    <row r="6" spans="2:10" x14ac:dyDescent="0.2">
      <c r="B6" t="s">
        <v>2</v>
      </c>
    </row>
    <row r="7" spans="2:10" x14ac:dyDescent="0.2">
      <c r="B7" t="s">
        <v>5</v>
      </c>
    </row>
    <row r="10" spans="2:10" ht="30" customHeight="1" x14ac:dyDescent="0.2">
      <c r="B10" s="1" t="s">
        <v>4</v>
      </c>
    </row>
    <row r="11" spans="2:10" ht="20" customHeight="1" x14ac:dyDescent="0.2">
      <c r="B11" s="1" t="s">
        <v>6</v>
      </c>
    </row>
    <row r="12" spans="2:10" x14ac:dyDescent="0.2">
      <c r="D12" t="s">
        <v>85</v>
      </c>
    </row>
    <row r="13" spans="2:10" x14ac:dyDescent="0.2">
      <c r="B13" s="1" t="s">
        <v>7</v>
      </c>
      <c r="D13" t="s">
        <v>74</v>
      </c>
    </row>
    <row r="14" spans="2:10" x14ac:dyDescent="0.2">
      <c r="B14" s="1" t="s">
        <v>8</v>
      </c>
      <c r="J14" s="5"/>
    </row>
    <row r="15" spans="2:10" x14ac:dyDescent="0.2">
      <c r="B15" t="s">
        <v>76</v>
      </c>
      <c r="D15" t="s">
        <v>73</v>
      </c>
      <c r="G15" t="s">
        <v>83</v>
      </c>
      <c r="J15" s="5"/>
    </row>
    <row r="16" spans="2:10" x14ac:dyDescent="0.2">
      <c r="B16" t="s">
        <v>77</v>
      </c>
      <c r="D16" t="s">
        <v>73</v>
      </c>
      <c r="G16" t="s">
        <v>83</v>
      </c>
      <c r="J16" s="5"/>
    </row>
    <row r="17" spans="2:10" x14ac:dyDescent="0.2">
      <c r="B17" t="s">
        <v>78</v>
      </c>
      <c r="D17" t="s">
        <v>73</v>
      </c>
      <c r="G17" t="s">
        <v>83</v>
      </c>
      <c r="J17" s="5"/>
    </row>
    <row r="18" spans="2:10" x14ac:dyDescent="0.2">
      <c r="B18" s="1" t="s">
        <v>30</v>
      </c>
      <c r="J18" s="5"/>
    </row>
    <row r="19" spans="2:10" x14ac:dyDescent="0.2">
      <c r="B19" t="s">
        <v>41</v>
      </c>
      <c r="D19" t="s">
        <v>87</v>
      </c>
      <c r="G19">
        <v>170</v>
      </c>
      <c r="H19" t="s">
        <v>72</v>
      </c>
      <c r="J19" s="5"/>
    </row>
    <row r="20" spans="2:10" x14ac:dyDescent="0.2">
      <c r="B20" t="s">
        <v>42</v>
      </c>
      <c r="D20" t="s">
        <v>87</v>
      </c>
      <c r="J20" s="5"/>
    </row>
    <row r="21" spans="2:10" x14ac:dyDescent="0.2">
      <c r="B21" t="s">
        <v>43</v>
      </c>
      <c r="D21" t="s">
        <v>87</v>
      </c>
    </row>
    <row r="22" spans="2:10" x14ac:dyDescent="0.2">
      <c r="B22" s="1" t="s">
        <v>44</v>
      </c>
      <c r="D22" t="s">
        <v>73</v>
      </c>
    </row>
    <row r="23" spans="2:10" x14ac:dyDescent="0.2">
      <c r="B23" s="1" t="s">
        <v>31</v>
      </c>
    </row>
    <row r="24" spans="2:10" x14ac:dyDescent="0.2">
      <c r="B24" t="s">
        <v>33</v>
      </c>
      <c r="D24" t="s">
        <v>87</v>
      </c>
      <c r="G24" t="s">
        <v>69</v>
      </c>
    </row>
    <row r="25" spans="2:10" x14ac:dyDescent="0.2">
      <c r="B25" t="s">
        <v>32</v>
      </c>
      <c r="D25" t="s">
        <v>87</v>
      </c>
      <c r="G25" t="s">
        <v>70</v>
      </c>
      <c r="H25" t="s">
        <v>91</v>
      </c>
    </row>
    <row r="26" spans="2:10" x14ac:dyDescent="0.2">
      <c r="B26" t="s">
        <v>34</v>
      </c>
      <c r="D26" t="s">
        <v>86</v>
      </c>
    </row>
    <row r="27" spans="2:10" x14ac:dyDescent="0.2">
      <c r="B27" s="1" t="s">
        <v>35</v>
      </c>
    </row>
    <row r="28" spans="2:10" x14ac:dyDescent="0.2">
      <c r="B28" t="s">
        <v>36</v>
      </c>
      <c r="D28" t="s">
        <v>94</v>
      </c>
      <c r="G28" t="s">
        <v>95</v>
      </c>
      <c r="H28" t="s">
        <v>97</v>
      </c>
    </row>
    <row r="29" spans="2:10" x14ac:dyDescent="0.2">
      <c r="B29" t="s">
        <v>37</v>
      </c>
      <c r="D29" t="s">
        <v>96</v>
      </c>
      <c r="G29" t="s">
        <v>71</v>
      </c>
    </row>
    <row r="30" spans="2:10" x14ac:dyDescent="0.2">
      <c r="B30" t="s">
        <v>38</v>
      </c>
      <c r="D30" t="s">
        <v>94</v>
      </c>
      <c r="G30" t="s">
        <v>95</v>
      </c>
    </row>
    <row r="31" spans="2:10" ht="16" customHeight="1" x14ac:dyDescent="0.2">
      <c r="B31" t="s">
        <v>39</v>
      </c>
      <c r="D31" t="s">
        <v>86</v>
      </c>
    </row>
    <row r="32" spans="2:10" x14ac:dyDescent="0.2">
      <c r="B32" t="s">
        <v>40</v>
      </c>
      <c r="D32" t="s">
        <v>86</v>
      </c>
    </row>
    <row r="33" spans="2:8" x14ac:dyDescent="0.2">
      <c r="B33" s="1" t="s">
        <v>48</v>
      </c>
    </row>
    <row r="34" spans="2:8" x14ac:dyDescent="0.2">
      <c r="B34" t="s">
        <v>49</v>
      </c>
      <c r="D34" t="s">
        <v>75</v>
      </c>
    </row>
    <row r="35" spans="2:8" x14ac:dyDescent="0.2">
      <c r="B35" t="s">
        <v>50</v>
      </c>
      <c r="D35" t="s">
        <v>75</v>
      </c>
    </row>
    <row r="36" spans="2:8" ht="16" customHeight="1" x14ac:dyDescent="0.2">
      <c r="B36" t="s">
        <v>51</v>
      </c>
      <c r="D36" t="s">
        <v>75</v>
      </c>
    </row>
    <row r="37" spans="2:8" ht="16" customHeight="1" x14ac:dyDescent="0.2">
      <c r="B37" s="1" t="s">
        <v>9</v>
      </c>
      <c r="D37" t="s">
        <v>75</v>
      </c>
    </row>
    <row r="38" spans="2:8" x14ac:dyDescent="0.2">
      <c r="B38" s="1" t="s">
        <v>10</v>
      </c>
    </row>
    <row r="39" spans="2:8" x14ac:dyDescent="0.2">
      <c r="B39" s="1" t="s">
        <v>11</v>
      </c>
      <c r="D39" t="s">
        <v>79</v>
      </c>
    </row>
    <row r="40" spans="2:8" x14ac:dyDescent="0.2">
      <c r="B40" s="21" t="s">
        <v>12</v>
      </c>
      <c r="D40" s="4">
        <v>6.5000000000000002E-2</v>
      </c>
      <c r="G40" t="s">
        <v>88</v>
      </c>
    </row>
    <row r="41" spans="2:8" ht="16" customHeight="1" x14ac:dyDescent="0.2">
      <c r="B41" s="1" t="s">
        <v>55</v>
      </c>
    </row>
    <row r="43" spans="2:8" x14ac:dyDescent="0.2">
      <c r="B43" s="22" t="s">
        <v>56</v>
      </c>
      <c r="C43" s="2"/>
    </row>
    <row r="44" spans="2:8" x14ac:dyDescent="0.2">
      <c r="B44" t="s">
        <v>57</v>
      </c>
      <c r="D44" t="s">
        <v>75</v>
      </c>
    </row>
    <row r="45" spans="2:8" x14ac:dyDescent="0.2">
      <c r="B45" t="s">
        <v>58</v>
      </c>
      <c r="D45" t="s">
        <v>90</v>
      </c>
      <c r="G45" t="s">
        <v>92</v>
      </c>
      <c r="H45" t="s">
        <v>93</v>
      </c>
    </row>
    <row r="46" spans="2:8" x14ac:dyDescent="0.2">
      <c r="B46" t="s">
        <v>59</v>
      </c>
      <c r="D46" t="s">
        <v>75</v>
      </c>
    </row>
    <row r="47" spans="2:8" ht="16" customHeight="1" x14ac:dyDescent="0.2">
      <c r="B47" t="s">
        <v>60</v>
      </c>
    </row>
    <row r="48" spans="2:8" x14ac:dyDescent="0.2">
      <c r="B48" t="s">
        <v>61</v>
      </c>
      <c r="D48" t="s">
        <v>75</v>
      </c>
    </row>
    <row r="49" spans="2:4" x14ac:dyDescent="0.2">
      <c r="B49" s="3" t="s">
        <v>62</v>
      </c>
    </row>
    <row r="50" spans="2:4" x14ac:dyDescent="0.2">
      <c r="B50" s="1" t="s">
        <v>63</v>
      </c>
    </row>
    <row r="51" spans="2:4" ht="16" customHeight="1" x14ac:dyDescent="0.2"/>
    <row r="52" spans="2:4" x14ac:dyDescent="0.2">
      <c r="B52" s="1" t="s">
        <v>65</v>
      </c>
    </row>
    <row r="53" spans="2:4" x14ac:dyDescent="0.2">
      <c r="B53" t="s">
        <v>66</v>
      </c>
      <c r="D53" t="s">
        <v>80</v>
      </c>
    </row>
    <row r="55" spans="2:4" x14ac:dyDescent="0.2">
      <c r="B55" s="23" t="s">
        <v>64</v>
      </c>
      <c r="C55" s="2"/>
    </row>
    <row r="56" spans="2:4" x14ac:dyDescent="0.2">
      <c r="B56" s="2" t="s">
        <v>67</v>
      </c>
      <c r="C56" s="2"/>
      <c r="D56" t="s">
        <v>79</v>
      </c>
    </row>
    <row r="57" spans="2:4" x14ac:dyDescent="0.2">
      <c r="B57" s="2"/>
      <c r="C57" s="2"/>
    </row>
    <row r="58" spans="2:4" x14ac:dyDescent="0.2">
      <c r="B58" s="23" t="s">
        <v>68</v>
      </c>
      <c r="C58" s="2"/>
    </row>
    <row r="60" spans="2:4" x14ac:dyDescent="0.2">
      <c r="B60" s="23" t="s">
        <v>13</v>
      </c>
      <c r="C60" s="2"/>
    </row>
    <row r="61" spans="2:4" x14ac:dyDescent="0.2">
      <c r="B61" s="21" t="s">
        <v>14</v>
      </c>
    </row>
    <row r="62" spans="2:4" x14ac:dyDescent="0.2">
      <c r="B62" t="s">
        <v>15</v>
      </c>
      <c r="D62" t="s">
        <v>81</v>
      </c>
    </row>
    <row r="63" spans="2:4" x14ac:dyDescent="0.2">
      <c r="B63" t="s">
        <v>16</v>
      </c>
      <c r="D63" t="s">
        <v>82</v>
      </c>
    </row>
    <row r="64" spans="2:4" x14ac:dyDescent="0.2">
      <c r="B64" t="s">
        <v>17</v>
      </c>
    </row>
    <row r="66" spans="2:3" x14ac:dyDescent="0.2">
      <c r="B66" s="21" t="s">
        <v>18</v>
      </c>
    </row>
    <row r="67" spans="2:3" x14ac:dyDescent="0.2">
      <c r="B67" t="s">
        <v>19</v>
      </c>
    </row>
    <row r="68" spans="2:3" x14ac:dyDescent="0.2">
      <c r="B68" t="s">
        <v>22</v>
      </c>
    </row>
    <row r="69" spans="2:3" x14ac:dyDescent="0.2">
      <c r="B69" t="s">
        <v>84</v>
      </c>
    </row>
    <row r="71" spans="2:3" x14ac:dyDescent="0.2">
      <c r="B71" s="23" t="s">
        <v>20</v>
      </c>
      <c r="C71" s="2"/>
    </row>
    <row r="72" spans="2:3" x14ac:dyDescent="0.2">
      <c r="B72" s="21" t="s">
        <v>21</v>
      </c>
    </row>
    <row r="73" spans="2:3" x14ac:dyDescent="0.2">
      <c r="B73" t="s">
        <v>19</v>
      </c>
    </row>
    <row r="74" spans="2:3" x14ac:dyDescent="0.2">
      <c r="B74" t="s">
        <v>22</v>
      </c>
    </row>
    <row r="76" spans="2:3" x14ac:dyDescent="0.2">
      <c r="B76" s="21" t="s">
        <v>23</v>
      </c>
    </row>
    <row r="77" spans="2:3" x14ac:dyDescent="0.2">
      <c r="B77" t="s">
        <v>19</v>
      </c>
    </row>
    <row r="78" spans="2:3" x14ac:dyDescent="0.2">
      <c r="B78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irrigated_SE ID</vt:lpstr>
      <vt:lpstr>irrigated_SW ID</vt:lpstr>
      <vt:lpstr>sources_method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Hatzenbuehler</dc:creator>
  <cp:lastModifiedBy>Patrick Hatzenbuehler</cp:lastModifiedBy>
  <dcterms:created xsi:type="dcterms:W3CDTF">2022-10-27T19:32:30Z</dcterms:created>
  <dcterms:modified xsi:type="dcterms:W3CDTF">2022-12-20T20:50:53Z</dcterms:modified>
</cp:coreProperties>
</file>