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t/Documents/Projects 2022/Extension/Budgets/Beef budgets/final budgets and spreadsheets/"/>
    </mc:Choice>
  </mc:AlternateContent>
  <xr:revisionPtr revIDLastSave="0" documentId="13_ncr:1_{17980CA4-0263-CF45-8F75-C82623FEBEB1}" xr6:coauthVersionLast="47" xr6:coauthVersionMax="48" xr10:uidLastSave="{00000000-0000-0000-0000-000000000000}"/>
  <bookViews>
    <workbookView xWindow="5780" yWindow="500" windowWidth="19180" windowHeight="10780" xr2:uid="{00000000-000D-0000-FFFF-FFFF00000000}"/>
  </bookViews>
  <sheets>
    <sheet name="CC7-Budget" sheetId="9" r:id="rId1"/>
    <sheet name="Monthly Flows" sheetId="20" r:id="rId2"/>
    <sheet name="Investment" sheetId="24" r:id="rId3"/>
    <sheet name="Vet" sheetId="25" r:id="rId4"/>
  </sheets>
  <externalReferences>
    <externalReference r:id="rId5"/>
  </externalReferences>
  <definedNames>
    <definedName name="alf" localSheetId="2">'[1]Input Prices'!#REF!</definedName>
    <definedName name="alf">'[1]Input Prices'!#REF!</definedName>
    <definedName name="Alfalfa">'[1]Input Prices'!$C$6</definedName>
    <definedName name="Barley">'[1]Input Prices'!$C$7</definedName>
    <definedName name="Bull" localSheetId="2">'[1]Input Prices'!#REF!</definedName>
    <definedName name="Bull">'[1]Input Prices'!#REF!</definedName>
    <definedName name="ChkOff">'[1]Input Prices'!$C$17</definedName>
    <definedName name="CropAft">'[1]Input Prices'!$C$12</definedName>
    <definedName name="Cull" localSheetId="2">'[1]Input Prices'!#REF!</definedName>
    <definedName name="Cull">'[1]Input Prices'!#REF!</definedName>
    <definedName name="fed">'[1]Input Prices'!$C$8</definedName>
    <definedName name="Heifer" localSheetId="2">'[1]Input Prices'!#REF!</definedName>
    <definedName name="Heifer">'[1]Input Prices'!#REF!</definedName>
    <definedName name="hrdlbr" localSheetId="2">'[1]Input Prices'!#REF!</definedName>
    <definedName name="hrdlbr">'[1]Input Prices'!#REF!</definedName>
    <definedName name="llabor">'[1]Input Prices'!$C$21</definedName>
    <definedName name="Mdwhay" localSheetId="2">'[1]Input Prices'!#REF!</definedName>
    <definedName name="Mdwhay">'[1]Input Prices'!#REF!</definedName>
    <definedName name="Mdwpastr">'[1]Input Prices'!$C$10</definedName>
    <definedName name="Meadow" localSheetId="2">'[1]Input Prices'!#REF!</definedName>
    <definedName name="Meadow">'[1]Input Prices'!#REF!</definedName>
    <definedName name="Minerals">'[1]Input Prices'!$C$14</definedName>
    <definedName name="opint">'[1]Input Prices'!$C$25</definedName>
    <definedName name="ownlbr">'[1]Input Prices'!$C$20</definedName>
    <definedName name="_xlnm.Print_Area" localSheetId="0">'CC7-Budget'!$B$2:$O$55</definedName>
    <definedName name="Private">'[1]Input Prices'!$C$11</definedName>
    <definedName name="RepHeif" localSheetId="2">'[1]Input Prices'!#REF!</definedName>
    <definedName name="RepHeif">'[1]Input Prices'!#REF!</definedName>
    <definedName name="Retlivint">'[1]Input Prices'!$C$26</definedName>
    <definedName name="Salt">'[1]Input Prices'!$C$13</definedName>
    <definedName name="state">'[1]Input Prices'!$C$9</definedName>
    <definedName name="Steer" localSheetId="2">'[1]Input Prices'!#REF!</definedName>
    <definedName name="Steer">'[1]Input Prices'!#REF!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4" l="1"/>
  <c r="I13" i="24"/>
  <c r="I9" i="24"/>
  <c r="I38" i="24"/>
  <c r="I35" i="24"/>
  <c r="I34" i="24"/>
  <c r="I21" i="24"/>
  <c r="I40" i="24"/>
  <c r="I39" i="24"/>
  <c r="I37" i="24"/>
  <c r="I36" i="24"/>
  <c r="I20" i="24"/>
  <c r="I12" i="24"/>
  <c r="I11" i="24"/>
  <c r="I10" i="24"/>
  <c r="I8" i="24"/>
  <c r="I7" i="24"/>
  <c r="H40" i="24"/>
  <c r="H39" i="24"/>
  <c r="H38" i="24"/>
  <c r="H37" i="24"/>
  <c r="H36" i="24"/>
  <c r="H35" i="24"/>
  <c r="H34" i="24"/>
  <c r="H14" i="24"/>
  <c r="H13" i="24"/>
  <c r="H12" i="24"/>
  <c r="H11" i="24"/>
  <c r="H10" i="24"/>
  <c r="H9" i="24"/>
  <c r="H8" i="24"/>
  <c r="H7" i="24"/>
  <c r="J32" i="9"/>
  <c r="J31" i="9"/>
  <c r="J34" i="9"/>
  <c r="J33" i="9"/>
  <c r="W29" i="25"/>
  <c r="I7" i="25"/>
  <c r="I9" i="25"/>
  <c r="I10" i="25"/>
  <c r="I11" i="25"/>
  <c r="I13" i="25"/>
  <c r="I14" i="25"/>
  <c r="I15" i="25"/>
  <c r="I16" i="25"/>
  <c r="I17" i="25"/>
  <c r="I19" i="25"/>
  <c r="I20" i="25"/>
  <c r="I21" i="25"/>
  <c r="I22" i="25"/>
  <c r="I23" i="25"/>
  <c r="I25" i="25"/>
  <c r="I26" i="25"/>
  <c r="I27" i="25"/>
  <c r="I28" i="25"/>
  <c r="I29" i="25"/>
  <c r="I6" i="25"/>
  <c r="D28" i="24" l="1"/>
  <c r="D27" i="24" l="1"/>
  <c r="D20" i="24" l="1"/>
  <c r="D21" i="24"/>
  <c r="C21" i="20"/>
  <c r="L22" i="9"/>
  <c r="M22" i="9" s="1"/>
  <c r="C18" i="20"/>
  <c r="P21" i="20" l="1"/>
  <c r="L21" i="20" s="1"/>
  <c r="W26" i="25"/>
  <c r="W27" i="25"/>
  <c r="W28" i="25"/>
  <c r="W25" i="25"/>
  <c r="W20" i="25"/>
  <c r="W21" i="25"/>
  <c r="W22" i="25"/>
  <c r="W23" i="25"/>
  <c r="W19" i="25"/>
  <c r="W16" i="25"/>
  <c r="W17" i="25"/>
  <c r="W15" i="25"/>
  <c r="W14" i="25"/>
  <c r="W13" i="25"/>
  <c r="W30" i="25" s="1"/>
  <c r="W11" i="25"/>
  <c r="W10" i="25"/>
  <c r="W9" i="25"/>
  <c r="W7" i="25"/>
  <c r="W6" i="25"/>
  <c r="L19" i="9"/>
  <c r="M21" i="20" l="1"/>
  <c r="M19" i="9"/>
  <c r="P18" i="20"/>
  <c r="W32" i="25" l="1"/>
  <c r="J24" i="9" s="1"/>
  <c r="N18" i="20"/>
  <c r="D18" i="20"/>
  <c r="O18" i="20"/>
  <c r="C25" i="20" l="1"/>
  <c r="L26" i="9"/>
  <c r="M26" i="9" s="1"/>
  <c r="P25" i="20" l="1"/>
  <c r="H30" i="9"/>
  <c r="H29" i="9"/>
  <c r="H25" i="9"/>
  <c r="F25" i="20" l="1"/>
  <c r="N25" i="20"/>
  <c r="J44" i="9"/>
  <c r="J46" i="9" l="1"/>
  <c r="C17" i="20"/>
  <c r="C19" i="20"/>
  <c r="C20" i="20"/>
  <c r="C22" i="20"/>
  <c r="C23" i="20"/>
  <c r="C24" i="20"/>
  <c r="C26" i="20"/>
  <c r="C27" i="20"/>
  <c r="C28" i="20"/>
  <c r="C29" i="20"/>
  <c r="C30" i="20"/>
  <c r="C31" i="20"/>
  <c r="C32" i="20"/>
  <c r="C33" i="20"/>
  <c r="C34" i="20"/>
  <c r="D42" i="24" l="1"/>
  <c r="E28" i="24"/>
  <c r="E27" i="24"/>
  <c r="E21" i="24"/>
  <c r="E20" i="24"/>
  <c r="C16" i="20"/>
  <c r="L21" i="9" l="1"/>
  <c r="P20" i="20" s="1"/>
  <c r="M21" i="9" l="1"/>
  <c r="F20" i="20"/>
  <c r="L20" i="9" l="1"/>
  <c r="P19" i="20" s="1"/>
  <c r="L18" i="9"/>
  <c r="P17" i="20" l="1"/>
  <c r="F19" i="20"/>
  <c r="M20" i="9"/>
  <c r="M18" i="9"/>
  <c r="J43" i="9" l="1"/>
  <c r="D17" i="20"/>
  <c r="E17" i="20"/>
  <c r="F17" i="20"/>
  <c r="G17" i="20"/>
  <c r="O17" i="20"/>
  <c r="J45" i="9"/>
  <c r="I42" i="24"/>
  <c r="I16" i="24"/>
  <c r="I28" i="24"/>
  <c r="I27" i="24"/>
  <c r="D30" i="24"/>
  <c r="H47" i="9" s="1"/>
  <c r="D23" i="24"/>
  <c r="D16" i="24"/>
  <c r="F12" i="20"/>
  <c r="G12" i="20"/>
  <c r="L12" i="20"/>
  <c r="L43" i="9" l="1"/>
  <c r="M43" i="9" s="1"/>
  <c r="H42" i="24"/>
  <c r="I30" i="24"/>
  <c r="H16" i="24"/>
  <c r="I23" i="24" l="1"/>
  <c r="J42" i="9" s="1"/>
  <c r="L13" i="9"/>
  <c r="M13" i="9" l="1"/>
  <c r="P10" i="20"/>
  <c r="N10" i="20" s="1"/>
  <c r="L23" i="9"/>
  <c r="P22" i="20" s="1"/>
  <c r="L25" i="9"/>
  <c r="P24" i="20" s="1"/>
  <c r="L31" i="9"/>
  <c r="P30" i="20" s="1"/>
  <c r="L32" i="9"/>
  <c r="P31" i="20" s="1"/>
  <c r="L33" i="9"/>
  <c r="P32" i="20" s="1"/>
  <c r="L27" i="9"/>
  <c r="P26" i="20" s="1"/>
  <c r="N24" i="20" l="1"/>
  <c r="K24" i="20"/>
  <c r="E24" i="20"/>
  <c r="D26" i="20"/>
  <c r="J26" i="20"/>
  <c r="K26" i="20"/>
  <c r="E26" i="20"/>
  <c r="N26" i="20"/>
  <c r="I26" i="20"/>
  <c r="L26" i="20"/>
  <c r="G26" i="20"/>
  <c r="O26" i="20"/>
  <c r="M26" i="20"/>
  <c r="F26" i="20"/>
  <c r="H26" i="20"/>
  <c r="F22" i="20"/>
  <c r="J22" i="20"/>
  <c r="N22" i="20"/>
  <c r="H22" i="20"/>
  <c r="L22" i="20"/>
  <c r="D22" i="20"/>
  <c r="E22" i="20"/>
  <c r="I22" i="20"/>
  <c r="M22" i="20"/>
  <c r="G22" i="20"/>
  <c r="K22" i="20"/>
  <c r="O22" i="20"/>
  <c r="F32" i="20"/>
  <c r="J32" i="20"/>
  <c r="N32" i="20"/>
  <c r="K32" i="20"/>
  <c r="L32" i="20"/>
  <c r="D32" i="20"/>
  <c r="E32" i="20"/>
  <c r="I32" i="20"/>
  <c r="M32" i="20"/>
  <c r="G32" i="20"/>
  <c r="O32" i="20"/>
  <c r="H32" i="20"/>
  <c r="F31" i="20"/>
  <c r="J31" i="20"/>
  <c r="N31" i="20"/>
  <c r="G31" i="20"/>
  <c r="O31" i="20"/>
  <c r="H31" i="20"/>
  <c r="D31" i="20"/>
  <c r="E31" i="20"/>
  <c r="I31" i="20"/>
  <c r="M31" i="20"/>
  <c r="K31" i="20"/>
  <c r="L31" i="20"/>
  <c r="F30" i="20"/>
  <c r="J30" i="20"/>
  <c r="N30" i="20"/>
  <c r="K30" i="20"/>
  <c r="L30" i="20"/>
  <c r="E30" i="20"/>
  <c r="I30" i="20"/>
  <c r="M30" i="20"/>
  <c r="G30" i="20"/>
  <c r="O30" i="20"/>
  <c r="H30" i="20"/>
  <c r="D30" i="20"/>
  <c r="M27" i="9"/>
  <c r="M33" i="9"/>
  <c r="M25" i="9"/>
  <c r="M32" i="9"/>
  <c r="M31" i="9"/>
  <c r="M23" i="9"/>
  <c r="L9" i="9"/>
  <c r="L10" i="9"/>
  <c r="L11" i="9"/>
  <c r="L12" i="9"/>
  <c r="L17" i="9"/>
  <c r="L24" i="9"/>
  <c r="P23" i="20" s="1"/>
  <c r="L30" i="9"/>
  <c r="P29" i="20" s="1"/>
  <c r="L34" i="9"/>
  <c r="P33" i="20" s="1"/>
  <c r="L42" i="9"/>
  <c r="M42" i="9" s="1"/>
  <c r="L44" i="9"/>
  <c r="M44" i="9" s="1"/>
  <c r="L45" i="9"/>
  <c r="M45" i="9" s="1"/>
  <c r="L46" i="9"/>
  <c r="M46" i="9" s="1"/>
  <c r="L47" i="9"/>
  <c r="M47" i="9" s="1"/>
  <c r="L48" i="9"/>
  <c r="L49" i="9"/>
  <c r="M49" i="9" s="1"/>
  <c r="N29" i="20" l="1"/>
  <c r="K29" i="20"/>
  <c r="E29" i="20"/>
  <c r="P16" i="20"/>
  <c r="P8" i="20"/>
  <c r="J29" i="9"/>
  <c r="L29" i="9" s="1"/>
  <c r="P28" i="20" s="1"/>
  <c r="E28" i="20" s="1"/>
  <c r="F23" i="20"/>
  <c r="N23" i="20"/>
  <c r="F33" i="20"/>
  <c r="J33" i="20"/>
  <c r="N33" i="20"/>
  <c r="G33" i="20"/>
  <c r="K33" i="20"/>
  <c r="O33" i="20"/>
  <c r="H33" i="20"/>
  <c r="L33" i="20"/>
  <c r="D33" i="20"/>
  <c r="E33" i="20"/>
  <c r="I33" i="20"/>
  <c r="M33" i="20"/>
  <c r="D12" i="20"/>
  <c r="I12" i="20"/>
  <c r="H12" i="20"/>
  <c r="M30" i="9"/>
  <c r="M9" i="9"/>
  <c r="P6" i="20"/>
  <c r="N6" i="20" s="1"/>
  <c r="M24" i="9"/>
  <c r="M12" i="9"/>
  <c r="P9" i="20"/>
  <c r="J9" i="20" s="1"/>
  <c r="M34" i="9"/>
  <c r="M10" i="9"/>
  <c r="P7" i="20"/>
  <c r="N7" i="20" s="1"/>
  <c r="M48" i="9"/>
  <c r="M17" i="9"/>
  <c r="M11" i="9"/>
  <c r="L14" i="9"/>
  <c r="P12" i="20" s="1"/>
  <c r="L50" i="9"/>
  <c r="M50" i="9" s="1"/>
  <c r="O8" i="20" l="1"/>
  <c r="J8" i="20"/>
  <c r="J12" i="20" s="1"/>
  <c r="D16" i="20"/>
  <c r="O16" i="20"/>
  <c r="G16" i="20"/>
  <c r="F16" i="20"/>
  <c r="E16" i="20"/>
  <c r="K28" i="20"/>
  <c r="N28" i="20"/>
  <c r="N12" i="20"/>
  <c r="K12" i="20"/>
  <c r="O12" i="20"/>
  <c r="M12" i="20"/>
  <c r="M14" i="9"/>
  <c r="E12" i="20"/>
  <c r="M29" i="9"/>
  <c r="L28" i="9"/>
  <c r="P27" i="20" l="1"/>
  <c r="E27" i="20" s="1"/>
  <c r="E36" i="20" s="1"/>
  <c r="E39" i="20" s="1"/>
  <c r="H35" i="9"/>
  <c r="L35" i="9" s="1"/>
  <c r="P34" i="20" s="1"/>
  <c r="M28" i="9"/>
  <c r="L27" i="20" l="1"/>
  <c r="L36" i="20" s="1"/>
  <c r="L39" i="20" s="1"/>
  <c r="O27" i="20"/>
  <c r="H27" i="20"/>
  <c r="H36" i="20" s="1"/>
  <c r="H39" i="20" s="1"/>
  <c r="M27" i="20"/>
  <c r="M36" i="20" s="1"/>
  <c r="M39" i="20" s="1"/>
  <c r="K27" i="20"/>
  <c r="K36" i="20" s="1"/>
  <c r="K39" i="20" s="1"/>
  <c r="N27" i="20"/>
  <c r="N36" i="20" s="1"/>
  <c r="N39" i="20" s="1"/>
  <c r="G27" i="20"/>
  <c r="G36" i="20" s="1"/>
  <c r="G39" i="20" s="1"/>
  <c r="J27" i="20"/>
  <c r="J36" i="20" s="1"/>
  <c r="J39" i="20" s="1"/>
  <c r="F27" i="20"/>
  <c r="F36" i="20" s="1"/>
  <c r="F39" i="20" s="1"/>
  <c r="I27" i="20"/>
  <c r="I36" i="20" s="1"/>
  <c r="I39" i="20" s="1"/>
  <c r="D27" i="20"/>
  <c r="O34" i="20"/>
  <c r="P36" i="20"/>
  <c r="P39" i="20" s="1"/>
  <c r="M35" i="9"/>
  <c r="L36" i="9"/>
  <c r="M36" i="9" s="1"/>
  <c r="O36" i="20" l="1"/>
  <c r="O39" i="20" s="1"/>
  <c r="D36" i="20"/>
  <c r="D39" i="20" s="1"/>
  <c r="L52" i="9"/>
  <c r="L54" i="9" s="1"/>
  <c r="M54" i="9" s="1"/>
  <c r="L38" i="9"/>
  <c r="M38" i="9" s="1"/>
  <c r="M52" i="9" l="1"/>
</calcChain>
</file>

<file path=xl/sharedStrings.xml><?xml version="1.0" encoding="utf-8"?>
<sst xmlns="http://schemas.openxmlformats.org/spreadsheetml/2006/main" count="309" uniqueCount="161">
  <si>
    <t>Table 1:  Cow-Calf Budget - Bruneau/Three Creek Area - Owyhee County, 500 Cow - 2021</t>
  </si>
  <si>
    <t>CCB-CC7-21</t>
  </si>
  <si>
    <t>Summer on Federal &amp; State Range, Winter on Federal &amp; Private Range</t>
  </si>
  <si>
    <t>No. of Cows:</t>
  </si>
  <si>
    <t>Total Number</t>
  </si>
  <si>
    <t>Weight</t>
  </si>
  <si>
    <t>of Head</t>
  </si>
  <si>
    <t>Price or</t>
  </si>
  <si>
    <t>Total</t>
  </si>
  <si>
    <t>Value or</t>
  </si>
  <si>
    <t>Each</t>
  </si>
  <si>
    <t>Unit</t>
  </si>
  <si>
    <t>or Units</t>
  </si>
  <si>
    <t>Cost/Unit</t>
  </si>
  <si>
    <t>Value</t>
  </si>
  <si>
    <t>Cost/Head</t>
  </si>
  <si>
    <t>Your Value</t>
  </si>
  <si>
    <t>GROSS RETURNS</t>
  </si>
  <si>
    <t>NOTES</t>
  </si>
  <si>
    <t>Steer Calves</t>
  </si>
  <si>
    <t>lbs</t>
  </si>
  <si>
    <t>Cows</t>
  </si>
  <si>
    <t>Heifer Calves</t>
  </si>
  <si>
    <t>Bulls</t>
  </si>
  <si>
    <t>Cull Cows</t>
  </si>
  <si>
    <t>Horses</t>
  </si>
  <si>
    <t>Cull Bulls</t>
  </si>
  <si>
    <t>Cow culling rate</t>
  </si>
  <si>
    <t>Cull Replacement Heifers</t>
  </si>
  <si>
    <t>Cow death loss</t>
  </si>
  <si>
    <t>TOTAL GROSS RETURNS</t>
  </si>
  <si>
    <t>Calf crop</t>
  </si>
  <si>
    <t>Heifer culling rate</t>
  </si>
  <si>
    <t>OPERATING COSTS</t>
  </si>
  <si>
    <t>Alfalfa Hay</t>
  </si>
  <si>
    <t>ton</t>
  </si>
  <si>
    <t>Meadow Hay</t>
  </si>
  <si>
    <t>Protein Supplement</t>
  </si>
  <si>
    <t>cwt</t>
  </si>
  <si>
    <t>Federal Range</t>
  </si>
  <si>
    <t>AUM</t>
  </si>
  <si>
    <t>State Range</t>
  </si>
  <si>
    <t>Private Range</t>
  </si>
  <si>
    <t>Salt/Mineral</t>
  </si>
  <si>
    <t>Veterinary/Medicine</t>
  </si>
  <si>
    <t>$</t>
  </si>
  <si>
    <t>Freight/Trucking to Market</t>
  </si>
  <si>
    <t>head</t>
  </si>
  <si>
    <t>Freight/Trucking to &amp; from Pasture</t>
  </si>
  <si>
    <t>Hired Labor</t>
  </si>
  <si>
    <t>hour</t>
  </si>
  <si>
    <t>Owner Labor</t>
  </si>
  <si>
    <t>Commission</t>
  </si>
  <si>
    <t>Checkoff/Brand Inspection</t>
  </si>
  <si>
    <t>Machinery (Fuel, Oil, Repair)</t>
  </si>
  <si>
    <t>Vehicles (Fuel, Repair)</t>
  </si>
  <si>
    <t>Equipment (Repair)</t>
  </si>
  <si>
    <t>Buildings &amp; Improvements (Repair)</t>
  </si>
  <si>
    <t>Interest on Operating Capital</t>
  </si>
  <si>
    <t>TOTAL OPERATING COSTS</t>
  </si>
  <si>
    <t>NET RETURNS ABOVE OPERATING COSTS</t>
  </si>
  <si>
    <t>OWNERSHIP COSTS</t>
  </si>
  <si>
    <t>Capital Recovery:</t>
  </si>
  <si>
    <t xml:space="preserve">     Purchased Livestock </t>
  </si>
  <si>
    <t xml:space="preserve">     Buildings &amp; Improvements</t>
  </si>
  <si>
    <t xml:space="preserve">     Machinery</t>
  </si>
  <si>
    <t xml:space="preserve">     Equipment</t>
  </si>
  <si>
    <t xml:space="preserve">     Vehicles</t>
  </si>
  <si>
    <t>Interest on Retained Livestock</t>
  </si>
  <si>
    <t>Taxes &amp; Insurance</t>
  </si>
  <si>
    <t>General Overhead</t>
  </si>
  <si>
    <t>TOTAL OWNERSHIP COSTS</t>
  </si>
  <si>
    <t>TOTAL COSTS</t>
  </si>
  <si>
    <t>NET RETURNS ABOVE TOTAL COSTS</t>
  </si>
  <si>
    <t xml:space="preserve">Table 2:  Monthly Summary of Returns and Expenses.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</si>
  <si>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</si>
  <si>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</si>
  <si>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</si>
  <si>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</si>
  <si>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</si>
  <si>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</si>
  <si>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</si>
  <si>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</si>
  <si>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</si>
  <si>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</si>
  <si>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</si>
  <si>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</si>
  <si>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Production:</t>
  </si>
  <si>
    <t>Total Receipts</t>
  </si>
  <si>
    <t>Operating Inputs:</t>
  </si>
  <si>
    <t>Total Costs</t>
  </si>
  <si>
    <t>Net Returns</t>
  </si>
  <si>
    <t xml:space="preserve">Table 3:  Monthly Feed Requirements. </t>
  </si>
  <si>
    <t>Feed</t>
  </si>
  <si>
    <t>Units</t>
  </si>
  <si>
    <t>Replacement Heifers</t>
  </si>
  <si>
    <t>Cows &amp; Heifers</t>
  </si>
  <si>
    <t>Daily Feed Requirements by Livestock Category                          (lb fed/head/day)</t>
  </si>
  <si>
    <t>Livestock Category</t>
  </si>
  <si>
    <t>Alfalfa or Grass Hay (lb)</t>
  </si>
  <si>
    <t>Protein Supplement (lb)</t>
  </si>
  <si>
    <t>No. of Days</t>
  </si>
  <si>
    <t xml:space="preserve">Table 4:  Investment Summary. </t>
  </si>
  <si>
    <t>Total Value</t>
  </si>
  <si>
    <t>Salvage/Cull Value</t>
  </si>
  <si>
    <t>Livestock Share</t>
  </si>
  <si>
    <t>Useful Life</t>
  </si>
  <si>
    <t>Annual Taxes &amp; Insurance</t>
  </si>
  <si>
    <r>
      <t>Annual Capital</t>
    </r>
    <r>
      <rPr>
        <b/>
        <sz val="14"/>
        <rFont val="Arial"/>
        <family val="2"/>
      </rPr>
      <t xml:space="preserve"> Recovery</t>
    </r>
  </si>
  <si>
    <t>Buildings, Improvements</t>
  </si>
  <si>
    <t>Interest/Discount Rate</t>
  </si>
  <si>
    <t>and Equipment</t>
  </si>
  <si>
    <t>Fencing</t>
  </si>
  <si>
    <t>Corrals &amp; Pens</t>
  </si>
  <si>
    <t>Water System</t>
  </si>
  <si>
    <t>Barn</t>
  </si>
  <si>
    <t>Feed Wagon</t>
  </si>
  <si>
    <t>Squeeze Chute</t>
  </si>
  <si>
    <t>Vet Equipment</t>
  </si>
  <si>
    <t>Stock Trailer</t>
  </si>
  <si>
    <t>Purchased Livestock</t>
  </si>
  <si>
    <t>Retained Livestock</t>
  </si>
  <si>
    <t>Beef Replacement Heifers</t>
  </si>
  <si>
    <t>Beef Cows</t>
  </si>
  <si>
    <t>Machinery and Vehicles</t>
  </si>
  <si>
    <t>Backhoe</t>
  </si>
  <si>
    <t>150 hpTractor</t>
  </si>
  <si>
    <t>2 Pickups 4X4 3/4 ton</t>
  </si>
  <si>
    <t>2 Ton Truck</t>
  </si>
  <si>
    <t>Car</t>
  </si>
  <si>
    <t>UTV</t>
  </si>
  <si>
    <t>1 ATVs</t>
  </si>
  <si>
    <t>Annual capital recovery is the method of calculating depreciation and interest recommended by the National Task Force</t>
  </si>
  <si>
    <t>on Commodity Costs and Returns Measurement Methods.</t>
  </si>
  <si>
    <t>Interest on average investment.</t>
  </si>
  <si>
    <t>Veterinary Expenses</t>
  </si>
  <si>
    <t>Monthly Allocation</t>
  </si>
  <si>
    <t>Vaccine</t>
  </si>
  <si>
    <t>Number of Head</t>
  </si>
  <si>
    <t>Dosage</t>
  </si>
  <si>
    <t>Price</t>
  </si>
  <si>
    <t>$/Unit</t>
  </si>
  <si>
    <t>Quantity</t>
  </si>
  <si>
    <t>Inforce 3</t>
  </si>
  <si>
    <t>Respiratory Viral</t>
  </si>
  <si>
    <t>dose</t>
  </si>
  <si>
    <t>Ultrabac 8</t>
  </si>
  <si>
    <t>8 Way</t>
  </si>
  <si>
    <t>Bangs</t>
  </si>
  <si>
    <t>Pyramid 5</t>
  </si>
  <si>
    <t>Vira Shield 6 + VL5</t>
  </si>
  <si>
    <t>Pregnancy Viral</t>
  </si>
  <si>
    <t>Clean-Up 2</t>
  </si>
  <si>
    <t>Pour-On</t>
  </si>
  <si>
    <t xml:space="preserve"> </t>
  </si>
  <si>
    <t>PYthon2</t>
  </si>
  <si>
    <t>Fly Tags</t>
  </si>
  <si>
    <t>Preg. Check</t>
  </si>
  <si>
    <t>Python 2</t>
  </si>
  <si>
    <t xml:space="preserve">Pyramid 5 </t>
  </si>
  <si>
    <t>Semen/Trich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</si>
</sst>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2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u/>
      <sz val="14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4"/>
      <color rgb="FFFF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6" fillId="0" borderId="0" xfId="2" applyFont="1"/>
    <xf numFmtId="0" fontId="6" fillId="0" borderId="0" xfId="2" applyFont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6" fillId="0" borderId="0" xfId="2" applyFont="1" applyAlignment="1" applyProtection="1">
      <alignment horizontal="center"/>
      <protection locked="0"/>
    </xf>
    <xf numFmtId="0" fontId="6" fillId="0" borderId="0" xfId="2" applyFont="1" applyProtection="1">
      <protection locked="0"/>
    </xf>
    <xf numFmtId="1" fontId="6" fillId="0" borderId="0" xfId="2" applyNumberFormat="1" applyFont="1" applyAlignment="1" applyProtection="1">
      <alignment horizontal="center"/>
      <protection locked="0"/>
    </xf>
    <xf numFmtId="3" fontId="6" fillId="0" borderId="0" xfId="2" applyNumberFormat="1" applyFont="1" applyAlignment="1" applyProtection="1">
      <alignment horizontal="center"/>
      <protection locked="0"/>
    </xf>
    <xf numFmtId="164" fontId="6" fillId="0" borderId="0" xfId="1" applyNumberFormat="1" applyFont="1" applyBorder="1" applyAlignment="1" applyProtection="1">
      <alignment horizontal="center"/>
      <protection locked="0"/>
    </xf>
    <xf numFmtId="0" fontId="4" fillId="2" borderId="0" xfId="2" applyFont="1" applyFill="1" applyAlignment="1">
      <alignment horizontal="right" vertical="center"/>
    </xf>
    <xf numFmtId="4" fontId="6" fillId="0" borderId="0" xfId="1" applyNumberFormat="1" applyFont="1" applyBorder="1" applyAlignment="1" applyProtection="1">
      <alignment horizontal="right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0" fontId="2" fillId="0" borderId="0" xfId="0" applyFont="1"/>
    <xf numFmtId="0" fontId="6" fillId="2" borderId="2" xfId="2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2" borderId="5" xfId="2" applyFont="1" applyFill="1" applyBorder="1" applyAlignment="1" applyProtection="1">
      <alignment horizontal="left" vertical="center"/>
      <protection locked="0"/>
    </xf>
    <xf numFmtId="0" fontId="6" fillId="2" borderId="5" xfId="2" applyFont="1" applyFill="1" applyBorder="1"/>
    <xf numFmtId="0" fontId="6" fillId="0" borderId="5" xfId="2" applyFont="1" applyBorder="1"/>
    <xf numFmtId="0" fontId="4" fillId="2" borderId="5" xfId="2" applyFont="1" applyFill="1" applyBorder="1" applyAlignment="1">
      <alignment horizontal="right" vertical="top"/>
    </xf>
    <xf numFmtId="0" fontId="4" fillId="2" borderId="0" xfId="2" applyFont="1" applyFill="1" applyAlignment="1">
      <alignment vertical="center"/>
    </xf>
    <xf numFmtId="0" fontId="6" fillId="0" borderId="2" xfId="2" applyFont="1" applyBorder="1"/>
    <xf numFmtId="165" fontId="7" fillId="2" borderId="0" xfId="2" applyNumberFormat="1" applyFont="1" applyFill="1" applyAlignment="1">
      <alignment horizontal="center"/>
    </xf>
    <xf numFmtId="165" fontId="4" fillId="2" borderId="0" xfId="2" applyNumberFormat="1" applyFont="1" applyFill="1" applyAlignment="1">
      <alignment horizontal="center"/>
    </xf>
    <xf numFmtId="39" fontId="2" fillId="2" borderId="0" xfId="3" applyNumberFormat="1" applyFont="1" applyFill="1" applyBorder="1"/>
    <xf numFmtId="7" fontId="3" fillId="2" borderId="0" xfId="3" applyNumberFormat="1" applyFont="1" applyFill="1" applyBorder="1"/>
    <xf numFmtId="165" fontId="3" fillId="2" borderId="0" xfId="3" applyNumberFormat="1" applyFont="1" applyFill="1" applyBorder="1"/>
    <xf numFmtId="3" fontId="2" fillId="0" borderId="0" xfId="0" applyNumberFormat="1" applyFont="1"/>
    <xf numFmtId="8" fontId="2" fillId="0" borderId="0" xfId="0" applyNumberFormat="1" applyFont="1"/>
    <xf numFmtId="0" fontId="4" fillId="2" borderId="5" xfId="2" applyFont="1" applyFill="1" applyBorder="1" applyAlignment="1" applyProtection="1">
      <alignment horizontal="center" vertical="center"/>
      <protection locked="0"/>
    </xf>
    <xf numFmtId="0" fontId="4" fillId="2" borderId="5" xfId="2" applyFont="1" applyFill="1" applyBorder="1" applyAlignment="1">
      <alignment horizontal="right" vertical="center"/>
    </xf>
    <xf numFmtId="165" fontId="4" fillId="2" borderId="3" xfId="2" applyNumberFormat="1" applyFont="1" applyFill="1" applyBorder="1" applyAlignment="1">
      <alignment horizontal="left" vertical="center"/>
    </xf>
    <xf numFmtId="1" fontId="4" fillId="2" borderId="3" xfId="2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3" fontId="2" fillId="2" borderId="0" xfId="0" applyNumberFormat="1" applyFont="1" applyFill="1"/>
    <xf numFmtId="4" fontId="2" fillId="2" borderId="0" xfId="0" applyNumberFormat="1" applyFont="1" applyFill="1"/>
    <xf numFmtId="8" fontId="2" fillId="2" borderId="0" xfId="0" applyNumberFormat="1" applyFont="1" applyFill="1"/>
    <xf numFmtId="166" fontId="3" fillId="2" borderId="0" xfId="0" applyNumberFormat="1" applyFont="1" applyFill="1"/>
    <xf numFmtId="165" fontId="3" fillId="2" borderId="0" xfId="0" applyNumberFormat="1" applyFont="1" applyFill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/>
    <xf numFmtId="8" fontId="2" fillId="2" borderId="0" xfId="0" applyNumberFormat="1" applyFont="1" applyFill="1" applyAlignment="1">
      <alignment horizontal="right"/>
    </xf>
    <xf numFmtId="3" fontId="3" fillId="2" borderId="0" xfId="0" applyNumberFormat="1" applyFont="1" applyFill="1"/>
    <xf numFmtId="4" fontId="3" fillId="2" borderId="0" xfId="0" applyNumberFormat="1" applyFont="1" applyFill="1"/>
    <xf numFmtId="8" fontId="3" fillId="2" borderId="0" xfId="0" applyNumberFormat="1" applyFont="1" applyFill="1"/>
    <xf numFmtId="3" fontId="2" fillId="2" borderId="2" xfId="0" applyNumberFormat="1" applyFont="1" applyFill="1" applyBorder="1"/>
    <xf numFmtId="4" fontId="2" fillId="2" borderId="2" xfId="0" applyNumberFormat="1" applyFont="1" applyFill="1" applyBorder="1"/>
    <xf numFmtId="8" fontId="2" fillId="2" borderId="5" xfId="0" applyNumberFormat="1" applyFont="1" applyFill="1" applyBorder="1"/>
    <xf numFmtId="0" fontId="10" fillId="2" borderId="0" xfId="0" applyFont="1" applyFill="1" applyAlignment="1">
      <alignment horizontal="right" vertical="top"/>
    </xf>
    <xf numFmtId="0" fontId="9" fillId="2" borderId="0" xfId="0" applyFont="1" applyFill="1"/>
    <xf numFmtId="0" fontId="6" fillId="2" borderId="5" xfId="2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1" fontId="4" fillId="2" borderId="3" xfId="2" applyNumberFormat="1" applyFont="1" applyFill="1" applyBorder="1" applyAlignment="1">
      <alignment horizontal="right" vertical="center"/>
    </xf>
    <xf numFmtId="0" fontId="6" fillId="2" borderId="0" xfId="2" applyFont="1" applyFill="1" applyProtection="1">
      <protection locked="0"/>
    </xf>
    <xf numFmtId="0" fontId="4" fillId="2" borderId="0" xfId="2" applyFont="1" applyFill="1" applyProtection="1">
      <protection locked="0"/>
    </xf>
    <xf numFmtId="0" fontId="6" fillId="2" borderId="2" xfId="2" applyFont="1" applyFill="1" applyBorder="1" applyProtection="1">
      <protection locked="0"/>
    </xf>
    <xf numFmtId="3" fontId="6" fillId="2" borderId="0" xfId="2" applyNumberFormat="1" applyFont="1" applyFill="1" applyProtection="1">
      <protection locked="0"/>
    </xf>
    <xf numFmtId="0" fontId="2" fillId="2" borderId="0" xfId="0" applyFont="1" applyFill="1" applyAlignment="1">
      <alignment wrapText="1"/>
    </xf>
    <xf numFmtId="0" fontId="4" fillId="2" borderId="5" xfId="2" applyFont="1" applyFill="1" applyBorder="1" applyAlignment="1" applyProtection="1">
      <alignment vertical="center"/>
      <protection locked="0"/>
    </xf>
    <xf numFmtId="165" fontId="4" fillId="2" borderId="3" xfId="2" applyNumberFormat="1" applyFont="1" applyFill="1" applyBorder="1" applyAlignment="1">
      <alignment vertical="center"/>
    </xf>
    <xf numFmtId="1" fontId="4" fillId="4" borderId="5" xfId="2" applyNumberFormat="1" applyFont="1" applyFill="1" applyBorder="1" applyAlignment="1">
      <alignment horizontal="center"/>
    </xf>
    <xf numFmtId="165" fontId="7" fillId="4" borderId="5" xfId="2" applyNumberFormat="1" applyFont="1" applyFill="1" applyBorder="1" applyAlignment="1">
      <alignment horizontal="center"/>
    </xf>
    <xf numFmtId="0" fontId="6" fillId="4" borderId="0" xfId="2" applyFont="1" applyFill="1"/>
    <xf numFmtId="165" fontId="4" fillId="4" borderId="0" xfId="2" applyNumberFormat="1" applyFont="1" applyFill="1" applyAlignment="1">
      <alignment horizontal="center"/>
    </xf>
    <xf numFmtId="165" fontId="4" fillId="4" borderId="3" xfId="2" applyNumberFormat="1" applyFont="1" applyFill="1" applyBorder="1" applyAlignment="1">
      <alignment horizontal="center"/>
    </xf>
    <xf numFmtId="0" fontId="6" fillId="4" borderId="3" xfId="2" applyFont="1" applyFill="1" applyBorder="1"/>
    <xf numFmtId="1" fontId="4" fillId="3" borderId="5" xfId="2" applyNumberFormat="1" applyFont="1" applyFill="1" applyBorder="1" applyAlignment="1">
      <alignment horizontal="center"/>
    </xf>
    <xf numFmtId="165" fontId="7" fillId="3" borderId="5" xfId="2" applyNumberFormat="1" applyFont="1" applyFill="1" applyBorder="1" applyAlignment="1">
      <alignment horizontal="center"/>
    </xf>
    <xf numFmtId="165" fontId="7" fillId="3" borderId="0" xfId="2" applyNumberFormat="1" applyFont="1" applyFill="1" applyAlignment="1">
      <alignment horizontal="center"/>
    </xf>
    <xf numFmtId="0" fontId="6" fillId="3" borderId="0" xfId="2" applyFont="1" applyFill="1"/>
    <xf numFmtId="165" fontId="4" fillId="3" borderId="0" xfId="2" applyNumberFormat="1" applyFont="1" applyFill="1" applyAlignment="1">
      <alignment horizontal="center"/>
    </xf>
    <xf numFmtId="165" fontId="4" fillId="3" borderId="3" xfId="2" applyNumberFormat="1" applyFont="1" applyFill="1" applyBorder="1" applyAlignment="1">
      <alignment horizontal="center"/>
    </xf>
    <xf numFmtId="37" fontId="2" fillId="3" borderId="0" xfId="3" applyNumberFormat="1" applyFont="1" applyFill="1" applyBorder="1"/>
    <xf numFmtId="39" fontId="2" fillId="3" borderId="0" xfId="3" applyNumberFormat="1" applyFont="1" applyFill="1" applyBorder="1"/>
    <xf numFmtId="9" fontId="2" fillId="3" borderId="7" xfId="4" applyFont="1" applyFill="1" applyBorder="1"/>
    <xf numFmtId="37" fontId="2" fillId="3" borderId="2" xfId="3" applyNumberFormat="1" applyFont="1" applyFill="1" applyBorder="1"/>
    <xf numFmtId="39" fontId="2" fillId="3" borderId="2" xfId="3" applyNumberFormat="1" applyFont="1" applyFill="1" applyBorder="1"/>
    <xf numFmtId="5" fontId="3" fillId="3" borderId="3" xfId="3" applyNumberFormat="1" applyFont="1" applyFill="1" applyBorder="1"/>
    <xf numFmtId="7" fontId="3" fillId="3" borderId="3" xfId="3" applyNumberFormat="1" applyFont="1" applyFill="1" applyBorder="1"/>
    <xf numFmtId="7" fontId="3" fillId="3" borderId="0" xfId="3" applyNumberFormat="1" applyFont="1" applyFill="1" applyBorder="1"/>
    <xf numFmtId="0" fontId="6" fillId="3" borderId="3" xfId="2" applyFont="1" applyFill="1" applyBorder="1"/>
    <xf numFmtId="37" fontId="2" fillId="3" borderId="0" xfId="5" applyNumberFormat="1" applyFont="1" applyFill="1" applyBorder="1"/>
    <xf numFmtId="37" fontId="6" fillId="3" borderId="0" xfId="2" applyNumberFormat="1" applyFont="1" applyFill="1"/>
    <xf numFmtId="0" fontId="6" fillId="3" borderId="7" xfId="2" applyFont="1" applyFill="1" applyBorder="1"/>
    <xf numFmtId="5" fontId="4" fillId="3" borderId="3" xfId="2" applyNumberFormat="1" applyFont="1" applyFill="1" applyBorder="1"/>
    <xf numFmtId="165" fontId="3" fillId="3" borderId="3" xfId="3" applyNumberFormat="1" applyFont="1" applyFill="1" applyBorder="1"/>
    <xf numFmtId="165" fontId="3" fillId="3" borderId="0" xfId="3" applyNumberFormat="1" applyFont="1" applyFill="1" applyBorder="1"/>
    <xf numFmtId="37" fontId="6" fillId="3" borderId="1" xfId="2" applyNumberFormat="1" applyFont="1" applyFill="1" applyBorder="1"/>
    <xf numFmtId="39" fontId="2" fillId="3" borderId="6" xfId="3" applyNumberFormat="1" applyFont="1" applyFill="1" applyBorder="1"/>
    <xf numFmtId="5" fontId="4" fillId="3" borderId="4" xfId="2" applyNumberFormat="1" applyFont="1" applyFill="1" applyBorder="1"/>
    <xf numFmtId="0" fontId="6" fillId="3" borderId="4" xfId="2" applyFont="1" applyFill="1" applyBorder="1"/>
    <xf numFmtId="37" fontId="6" fillId="3" borderId="2" xfId="2" applyNumberFormat="1" applyFont="1" applyFill="1" applyBorder="1"/>
    <xf numFmtId="165" fontId="3" fillId="3" borderId="4" xfId="3" applyNumberFormat="1" applyFont="1" applyFill="1" applyBorder="1"/>
    <xf numFmtId="0" fontId="4" fillId="4" borderId="3" xfId="2" applyFont="1" applyFill="1" applyBorder="1"/>
    <xf numFmtId="0" fontId="6" fillId="4" borderId="3" xfId="2" applyFont="1" applyFill="1" applyBorder="1" applyAlignment="1">
      <alignment horizontal="center"/>
    </xf>
    <xf numFmtId="0" fontId="6" fillId="4" borderId="0" xfId="2" applyFont="1" applyFill="1" applyAlignment="1">
      <alignment horizontal="center"/>
    </xf>
    <xf numFmtId="0" fontId="6" fillId="4" borderId="1" xfId="2" applyFont="1" applyFill="1" applyBorder="1"/>
    <xf numFmtId="0" fontId="6" fillId="4" borderId="1" xfId="2" applyFont="1" applyFill="1" applyBorder="1" applyAlignment="1">
      <alignment horizontal="center"/>
    </xf>
    <xf numFmtId="2" fontId="6" fillId="4" borderId="3" xfId="2" applyNumberFormat="1" applyFont="1" applyFill="1" applyBorder="1" applyAlignment="1">
      <alignment horizontal="center"/>
    </xf>
    <xf numFmtId="2" fontId="6" fillId="4" borderId="1" xfId="2" applyNumberFormat="1" applyFont="1" applyFill="1" applyBorder="1" applyAlignment="1">
      <alignment horizontal="center"/>
    </xf>
    <xf numFmtId="2" fontId="6" fillId="4" borderId="0" xfId="2" applyNumberFormat="1" applyFont="1" applyFill="1" applyAlignment="1">
      <alignment horizontal="center"/>
    </xf>
    <xf numFmtId="2" fontId="6" fillId="4" borderId="0" xfId="2" applyNumberFormat="1" applyFont="1" applyFill="1"/>
    <xf numFmtId="0" fontId="8" fillId="4" borderId="3" xfId="2" applyFont="1" applyFill="1" applyBorder="1"/>
    <xf numFmtId="0" fontId="4" fillId="4" borderId="0" xfId="2" applyFont="1" applyFill="1"/>
    <xf numFmtId="165" fontId="4" fillId="4" borderId="5" xfId="2" applyNumberFormat="1" applyFont="1" applyFill="1" applyBorder="1" applyAlignment="1">
      <alignment horizontal="left"/>
    </xf>
    <xf numFmtId="165" fontId="4" fillId="4" borderId="5" xfId="2" applyNumberFormat="1" applyFont="1" applyFill="1" applyBorder="1" applyAlignment="1">
      <alignment horizontal="center"/>
    </xf>
    <xf numFmtId="165" fontId="4" fillId="4" borderId="0" xfId="2" applyNumberFormat="1" applyFont="1" applyFill="1" applyAlignment="1">
      <alignment horizontal="left"/>
    </xf>
    <xf numFmtId="165" fontId="4" fillId="4" borderId="3" xfId="2" applyNumberFormat="1" applyFont="1" applyFill="1" applyBorder="1" applyAlignment="1">
      <alignment horizontal="left"/>
    </xf>
    <xf numFmtId="1" fontId="4" fillId="4" borderId="3" xfId="2" applyNumberFormat="1" applyFont="1" applyFill="1" applyBorder="1" applyAlignment="1">
      <alignment horizontal="center"/>
    </xf>
    <xf numFmtId="4" fontId="6" fillId="4" borderId="0" xfId="2" applyNumberFormat="1" applyFont="1" applyFill="1" applyAlignment="1">
      <alignment horizontal="center"/>
    </xf>
    <xf numFmtId="0" fontId="4" fillId="2" borderId="5" xfId="2" applyFont="1" applyFill="1" applyBorder="1" applyAlignment="1">
      <alignment vertical="center"/>
    </xf>
    <xf numFmtId="0" fontId="4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0" fontId="3" fillId="2" borderId="2" xfId="0" applyFont="1" applyFill="1" applyBorder="1"/>
    <xf numFmtId="0" fontId="10" fillId="2" borderId="3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39" fontId="2" fillId="4" borderId="0" xfId="3" applyNumberFormat="1" applyFont="1" applyFill="1" applyBorder="1"/>
    <xf numFmtId="10" fontId="2" fillId="4" borderId="0" xfId="4" applyNumberFormat="1" applyFont="1" applyFill="1" applyBorder="1"/>
    <xf numFmtId="2" fontId="6" fillId="4" borderId="3" xfId="2" applyNumberFormat="1" applyFont="1" applyFill="1" applyBorder="1"/>
    <xf numFmtId="2" fontId="6" fillId="4" borderId="1" xfId="2" applyNumberFormat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4" fontId="6" fillId="0" borderId="0" xfId="1" applyNumberFormat="1" applyFont="1" applyFill="1" applyBorder="1" applyAlignment="1" applyProtection="1">
      <alignment horizontal="right"/>
      <protection locked="0"/>
    </xf>
    <xf numFmtId="9" fontId="6" fillId="2" borderId="0" xfId="2" applyNumberFormat="1" applyFont="1" applyFill="1"/>
    <xf numFmtId="37" fontId="6" fillId="2" borderId="0" xfId="2" applyNumberFormat="1" applyFont="1" applyFill="1"/>
    <xf numFmtId="0" fontId="2" fillId="2" borderId="1" xfId="0" applyFont="1" applyFill="1" applyBorder="1" applyAlignment="1">
      <alignment horizontal="center"/>
    </xf>
    <xf numFmtId="0" fontId="12" fillId="0" borderId="0" xfId="0" applyFont="1"/>
    <xf numFmtId="44" fontId="12" fillId="0" borderId="0" xfId="3" applyFont="1"/>
    <xf numFmtId="44" fontId="12" fillId="0" borderId="0" xfId="0" applyNumberFormat="1" applyFont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1" fillId="2" borderId="0" xfId="0" applyFont="1" applyFill="1"/>
    <xf numFmtId="0" fontId="21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39" fontId="21" fillId="0" borderId="0" xfId="3" applyNumberFormat="1" applyFont="1" applyFill="1" applyBorder="1" applyAlignment="1" applyProtection="1">
      <alignment horizontal="right"/>
      <protection locked="0"/>
    </xf>
    <xf numFmtId="4" fontId="21" fillId="0" borderId="0" xfId="1" applyNumberFormat="1" applyFont="1" applyFill="1" applyBorder="1" applyAlignment="1" applyProtection="1">
      <alignment horizontal="right"/>
      <protection locked="0"/>
    </xf>
    <xf numFmtId="10" fontId="21" fillId="0" borderId="0" xfId="6" applyNumberFormat="1" applyFont="1" applyBorder="1" applyAlignment="1" applyProtection="1">
      <alignment horizontal="right"/>
      <protection locked="0"/>
    </xf>
    <xf numFmtId="10" fontId="22" fillId="0" borderId="0" xfId="0" applyNumberFormat="1" applyFont="1" applyAlignment="1">
      <alignment horizontal="center"/>
    </xf>
    <xf numFmtId="0" fontId="4" fillId="2" borderId="0" xfId="2" applyFont="1" applyFill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4" fillId="2" borderId="2" xfId="2" applyFont="1" applyFill="1" applyBorder="1" applyAlignment="1">
      <alignment horizontal="left" vertical="center"/>
    </xf>
    <xf numFmtId="0" fontId="6" fillId="2" borderId="2" xfId="2" applyFont="1" applyFill="1" applyBorder="1" applyAlignment="1"/>
    <xf numFmtId="0" fontId="4" fillId="2" borderId="3" xfId="2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7">
    <cellStyle name="Comma" xfId="1" builtinId="3"/>
    <cellStyle name="Comma 2" xfId="5" xr:uid="{00000000-0005-0000-0000-000001000000}"/>
    <cellStyle name="Currency 2" xfId="3" xr:uid="{00000000-0005-0000-0000-000002000000}"/>
    <cellStyle name="Normal" xfId="0" builtinId="0"/>
    <cellStyle name="Normal 2" xfId="2" xr:uid="{00000000-0005-0000-0000-000004000000}"/>
    <cellStyle name="Percent" xfId="6" builtinId="5"/>
    <cellStyle name="Percent 2" xfId="4" xr:uid="{00000000-0005-0000-0000-000006000000}"/>
  </cellStyles>
  <dxfs count="0"/>
  <tableStyles count="0" defaultTableStyle="TableStyleMedium2" defaultPivotStyle="PivotStyleLight16"/>
  <colors>
    <mruColors>
      <color rgb="FF0000CC"/>
      <color rgb="FF00FF00"/>
      <color rgb="FF99FF66"/>
      <color rgb="FF99CCFF"/>
      <color rgb="FFC5F1FF"/>
      <color rgb="FFCCFFFF"/>
      <color rgb="FFCCFFCC"/>
      <color rgb="FFCC00CC"/>
      <color rgb="FFFF9900"/>
      <color rgb="FFADD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.cals.uidaho.edu/idahoagbiz/files/2015/06/2014-Cow-calf-budgets_updated24June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put Prices"/>
      <sheetName val="CC1"/>
      <sheetName val="CC2"/>
      <sheetName val="CC3"/>
      <sheetName val="CC4"/>
      <sheetName val="CC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AC104"/>
  <sheetViews>
    <sheetView tabSelected="1" zoomScale="60" zoomScaleNormal="60" workbookViewId="0">
      <selection activeCell="J63" sqref="J63"/>
    </sheetView>
  </sheetViews>
  <sheetFormatPr baseColWidth="10" defaultColWidth="9" defaultRowHeight="18" x14ac:dyDescent="0.2"/>
  <cols>
    <col min="1" max="1" width="2.83203125" style="4" customWidth="1"/>
    <col min="2" max="2" width="1.1640625" style="1" customWidth="1"/>
    <col min="3" max="3" width="30" style="1" customWidth="1"/>
    <col min="4" max="4" width="12.5" style="1" customWidth="1"/>
    <col min="5" max="5" width="1.1640625" style="1" customWidth="1"/>
    <col min="6" max="6" width="12.5" style="2" customWidth="1"/>
    <col min="7" max="7" width="1.1640625" style="2" customWidth="1"/>
    <col min="8" max="8" width="16.5" style="2" customWidth="1"/>
    <col min="9" max="9" width="1.1640625" style="2" customWidth="1"/>
    <col min="10" max="10" width="12.5" style="2" customWidth="1"/>
    <col min="11" max="11" width="1.1640625" style="1" customWidth="1"/>
    <col min="12" max="13" width="17.5" style="1" customWidth="1"/>
    <col min="14" max="14" width="1.83203125" style="1" customWidth="1"/>
    <col min="15" max="15" width="17.5" style="1" customWidth="1"/>
    <col min="16" max="16" width="1.83203125" style="1" customWidth="1"/>
    <col min="17" max="17" width="1.83203125" style="4" customWidth="1"/>
    <col min="18" max="18" width="9" style="4"/>
    <col min="19" max="19" width="19.6640625" style="4" bestFit="1" customWidth="1"/>
    <col min="20" max="29" width="9" style="4"/>
    <col min="30" max="16384" width="9" style="1"/>
  </cols>
  <sheetData>
    <row r="1" spans="2:19" s="4" customFormat="1" x14ac:dyDescent="0.2">
      <c r="F1" s="5"/>
      <c r="G1" s="5"/>
      <c r="H1" s="5"/>
      <c r="I1" s="5"/>
      <c r="J1" s="5"/>
    </row>
    <row r="2" spans="2:19" ht="30" customHeight="1" x14ac:dyDescent="0.2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21"/>
      <c r="M2" s="22"/>
      <c r="N2" s="21"/>
      <c r="O2" s="23" t="s">
        <v>1</v>
      </c>
      <c r="P2" s="22"/>
    </row>
    <row r="3" spans="2:19" ht="30" customHeight="1" x14ac:dyDescent="0.2">
      <c r="B3" s="162" t="s">
        <v>2</v>
      </c>
      <c r="C3" s="162"/>
      <c r="D3" s="162"/>
      <c r="E3" s="162"/>
      <c r="F3" s="162"/>
      <c r="G3" s="162"/>
      <c r="H3" s="162"/>
      <c r="I3" s="162"/>
      <c r="J3" s="162"/>
      <c r="K3" s="162"/>
      <c r="L3" s="11" t="s">
        <v>3</v>
      </c>
      <c r="M3" s="13">
        <v>500</v>
      </c>
      <c r="N3" s="13"/>
      <c r="O3" s="24"/>
      <c r="P3" s="13"/>
      <c r="Q3" s="13"/>
    </row>
    <row r="4" spans="2:19" ht="3.75" customHeight="1" x14ac:dyDescent="0.2">
      <c r="B4" s="25"/>
      <c r="C4" s="164"/>
      <c r="D4" s="165"/>
      <c r="E4" s="165"/>
      <c r="F4" s="165"/>
      <c r="G4" s="15"/>
      <c r="H4" s="3"/>
      <c r="I4" s="3"/>
      <c r="J4" s="3"/>
      <c r="K4" s="15"/>
      <c r="L4" s="15"/>
      <c r="M4" s="15"/>
      <c r="N4" s="15"/>
      <c r="O4" s="25"/>
      <c r="P4" s="15"/>
    </row>
    <row r="5" spans="2:19" ht="22.5" customHeight="1" x14ac:dyDescent="0.2">
      <c r="B5" s="70"/>
      <c r="C5" s="112"/>
      <c r="D5" s="68"/>
      <c r="E5" s="68"/>
      <c r="F5" s="69"/>
      <c r="G5" s="69"/>
      <c r="H5" s="112" t="s">
        <v>4</v>
      </c>
      <c r="I5" s="112"/>
      <c r="J5" s="113"/>
      <c r="K5" s="113"/>
      <c r="L5" s="74"/>
      <c r="M5" s="75"/>
      <c r="N5" s="76"/>
      <c r="O5" s="77"/>
      <c r="P5" s="76"/>
      <c r="Q5" s="26"/>
    </row>
    <row r="6" spans="2:19" ht="22.5" customHeight="1" x14ac:dyDescent="0.2">
      <c r="B6" s="70"/>
      <c r="C6" s="114"/>
      <c r="D6" s="71" t="s">
        <v>5</v>
      </c>
      <c r="E6" s="71"/>
      <c r="F6" s="71"/>
      <c r="G6" s="71"/>
      <c r="H6" s="71" t="s">
        <v>6</v>
      </c>
      <c r="I6" s="71"/>
      <c r="J6" s="71" t="s">
        <v>7</v>
      </c>
      <c r="K6" s="71"/>
      <c r="L6" s="78" t="s">
        <v>8</v>
      </c>
      <c r="M6" s="78" t="s">
        <v>9</v>
      </c>
      <c r="N6" s="78"/>
      <c r="O6" s="77"/>
      <c r="P6" s="78"/>
      <c r="Q6" s="27"/>
    </row>
    <row r="7" spans="2:19" ht="22.5" customHeight="1" thickBot="1" x14ac:dyDescent="0.25">
      <c r="B7" s="70"/>
      <c r="C7" s="115"/>
      <c r="D7" s="116" t="s">
        <v>10</v>
      </c>
      <c r="E7" s="116"/>
      <c r="F7" s="72" t="s">
        <v>11</v>
      </c>
      <c r="G7" s="72"/>
      <c r="H7" s="72" t="s">
        <v>12</v>
      </c>
      <c r="I7" s="72"/>
      <c r="J7" s="72" t="s">
        <v>13</v>
      </c>
      <c r="K7" s="72"/>
      <c r="L7" s="79" t="s">
        <v>14</v>
      </c>
      <c r="M7" s="79" t="s">
        <v>15</v>
      </c>
      <c r="N7" s="79"/>
      <c r="O7" s="79" t="s">
        <v>16</v>
      </c>
      <c r="P7" s="78"/>
      <c r="Q7" s="27"/>
    </row>
    <row r="8" spans="2:19" ht="22.5" customHeight="1" thickBot="1" x14ac:dyDescent="0.25">
      <c r="B8" s="70"/>
      <c r="C8" s="101" t="s">
        <v>17</v>
      </c>
      <c r="D8" s="73"/>
      <c r="E8" s="70"/>
      <c r="F8" s="103"/>
      <c r="G8" s="103"/>
      <c r="H8" s="103"/>
      <c r="I8" s="103"/>
      <c r="J8" s="103"/>
      <c r="K8" s="70"/>
      <c r="L8" s="77"/>
      <c r="M8" s="77"/>
      <c r="N8" s="77"/>
      <c r="O8" s="77"/>
      <c r="P8" s="77"/>
      <c r="R8" s="166" t="s">
        <v>18</v>
      </c>
      <c r="S8" s="166"/>
    </row>
    <row r="9" spans="2:19" ht="22.5" customHeight="1" x14ac:dyDescent="0.2">
      <c r="B9" s="70"/>
      <c r="C9" s="7" t="s">
        <v>19</v>
      </c>
      <c r="D9" s="8">
        <v>525</v>
      </c>
      <c r="E9" s="109"/>
      <c r="F9" s="6" t="s">
        <v>20</v>
      </c>
      <c r="G9" s="103"/>
      <c r="H9" s="6">
        <v>218</v>
      </c>
      <c r="I9" s="103"/>
      <c r="J9" s="158">
        <v>1.67</v>
      </c>
      <c r="K9" s="124"/>
      <c r="L9" s="80">
        <f>D9*H9*J9</f>
        <v>191131.5</v>
      </c>
      <c r="M9" s="81">
        <f>L9/$M$3</f>
        <v>382.26299999999998</v>
      </c>
      <c r="N9" s="81"/>
      <c r="O9" s="82"/>
      <c r="P9" s="81"/>
      <c r="Q9" s="28"/>
      <c r="R9" s="4">
        <v>500</v>
      </c>
      <c r="S9" s="4" t="s">
        <v>21</v>
      </c>
    </row>
    <row r="10" spans="2:19" ht="22.5" customHeight="1" x14ac:dyDescent="0.2">
      <c r="B10" s="70"/>
      <c r="C10" s="7" t="s">
        <v>22</v>
      </c>
      <c r="D10" s="8">
        <v>485</v>
      </c>
      <c r="E10" s="109"/>
      <c r="F10" s="6" t="s">
        <v>20</v>
      </c>
      <c r="G10" s="103"/>
      <c r="H10" s="6">
        <v>130</v>
      </c>
      <c r="I10" s="103"/>
      <c r="J10" s="158">
        <v>1.62</v>
      </c>
      <c r="K10" s="124"/>
      <c r="L10" s="80">
        <f>D10*H10*J10</f>
        <v>102141</v>
      </c>
      <c r="M10" s="81">
        <f>L10/$M$3</f>
        <v>204.28200000000001</v>
      </c>
      <c r="N10" s="81"/>
      <c r="O10" s="82"/>
      <c r="P10" s="81"/>
      <c r="Q10" s="28"/>
      <c r="R10" s="4">
        <v>25</v>
      </c>
      <c r="S10" s="4" t="s">
        <v>23</v>
      </c>
    </row>
    <row r="11" spans="2:19" ht="22.5" customHeight="1" x14ac:dyDescent="0.2">
      <c r="B11" s="70"/>
      <c r="C11" s="7" t="s">
        <v>24</v>
      </c>
      <c r="D11" s="8">
        <v>1200</v>
      </c>
      <c r="E11" s="109"/>
      <c r="F11" s="6" t="s">
        <v>20</v>
      </c>
      <c r="G11" s="103"/>
      <c r="H11" s="6">
        <v>75</v>
      </c>
      <c r="I11" s="103"/>
      <c r="J11" s="158">
        <v>0.67</v>
      </c>
      <c r="K11" s="124"/>
      <c r="L11" s="80">
        <f>D11*H11*J11</f>
        <v>60300</v>
      </c>
      <c r="M11" s="81">
        <f>L11/$M$3</f>
        <v>120.6</v>
      </c>
      <c r="N11" s="81"/>
      <c r="O11" s="82"/>
      <c r="P11" s="81"/>
      <c r="Q11" s="28"/>
      <c r="R11" s="4">
        <v>10</v>
      </c>
      <c r="S11" s="4" t="s">
        <v>25</v>
      </c>
    </row>
    <row r="12" spans="2:19" ht="22.5" customHeight="1" x14ac:dyDescent="0.2">
      <c r="B12" s="70"/>
      <c r="C12" s="7" t="s">
        <v>26</v>
      </c>
      <c r="D12" s="8">
        <v>1800</v>
      </c>
      <c r="E12" s="109"/>
      <c r="F12" s="6" t="s">
        <v>20</v>
      </c>
      <c r="G12" s="103"/>
      <c r="H12" s="6">
        <v>5</v>
      </c>
      <c r="I12" s="103"/>
      <c r="J12" s="158">
        <v>0.88</v>
      </c>
      <c r="K12" s="124"/>
      <c r="L12" s="80">
        <f>D12*H12*J12</f>
        <v>7920</v>
      </c>
      <c r="M12" s="81">
        <f>L12/$M$3</f>
        <v>15.84</v>
      </c>
      <c r="N12" s="81"/>
      <c r="O12" s="82"/>
      <c r="P12" s="81"/>
      <c r="Q12" s="28"/>
      <c r="R12" s="136">
        <v>0.15</v>
      </c>
      <c r="S12" s="4" t="s">
        <v>27</v>
      </c>
    </row>
    <row r="13" spans="2:19" ht="22.5" customHeight="1" x14ac:dyDescent="0.2">
      <c r="B13" s="70"/>
      <c r="C13" s="7" t="s">
        <v>28</v>
      </c>
      <c r="D13" s="8">
        <v>1000</v>
      </c>
      <c r="E13" s="109"/>
      <c r="F13" s="6" t="s">
        <v>20</v>
      </c>
      <c r="G13" s="103"/>
      <c r="H13" s="6">
        <v>8</v>
      </c>
      <c r="I13" s="103"/>
      <c r="J13" s="158">
        <v>1.1200000000000001</v>
      </c>
      <c r="K13" s="124"/>
      <c r="L13" s="83">
        <f>D13*H13*J13</f>
        <v>8960</v>
      </c>
      <c r="M13" s="84">
        <f>L13/$M$3</f>
        <v>17.920000000000002</v>
      </c>
      <c r="N13" s="81"/>
      <c r="O13" s="82"/>
      <c r="P13" s="81"/>
      <c r="Q13" s="28"/>
      <c r="R13" s="136">
        <v>0.01</v>
      </c>
      <c r="S13" s="4" t="s">
        <v>29</v>
      </c>
    </row>
    <row r="14" spans="2:19" ht="22.5" customHeight="1" thickBot="1" x14ac:dyDescent="0.25">
      <c r="B14" s="70"/>
      <c r="C14" s="101" t="s">
        <v>30</v>
      </c>
      <c r="D14" s="73"/>
      <c r="E14" s="73"/>
      <c r="F14" s="102"/>
      <c r="G14" s="102"/>
      <c r="H14" s="102"/>
      <c r="I14" s="102"/>
      <c r="J14" s="102"/>
      <c r="K14" s="73"/>
      <c r="L14" s="85">
        <f>SUM(L9:L13)</f>
        <v>370452.5</v>
      </c>
      <c r="M14" s="86">
        <f>SUM(M9:M13)</f>
        <v>740.90499999999997</v>
      </c>
      <c r="N14" s="87"/>
      <c r="O14" s="88"/>
      <c r="P14" s="87"/>
      <c r="Q14" s="29"/>
      <c r="R14" s="136">
        <v>0.87</v>
      </c>
      <c r="S14" s="4" t="s">
        <v>31</v>
      </c>
    </row>
    <row r="15" spans="2:19" ht="22.5" customHeight="1" x14ac:dyDescent="0.2">
      <c r="B15" s="70"/>
      <c r="C15" s="70"/>
      <c r="D15" s="70"/>
      <c r="E15" s="70"/>
      <c r="F15" s="103"/>
      <c r="G15" s="103"/>
      <c r="H15" s="103"/>
      <c r="I15" s="103"/>
      <c r="J15" s="103"/>
      <c r="K15" s="70"/>
      <c r="L15" s="89"/>
      <c r="M15" s="81"/>
      <c r="N15" s="81"/>
      <c r="O15" s="77"/>
      <c r="P15" s="81"/>
      <c r="Q15" s="28"/>
      <c r="R15" s="136">
        <v>0.09</v>
      </c>
      <c r="S15" s="4" t="s">
        <v>32</v>
      </c>
    </row>
    <row r="16" spans="2:19" ht="22.5" customHeight="1" thickBot="1" x14ac:dyDescent="0.25">
      <c r="B16" s="70"/>
      <c r="C16" s="101" t="s">
        <v>33</v>
      </c>
      <c r="D16" s="73"/>
      <c r="E16" s="70"/>
      <c r="F16" s="103"/>
      <c r="G16" s="103"/>
      <c r="H16" s="103"/>
      <c r="I16" s="103"/>
      <c r="J16" s="103"/>
      <c r="K16" s="70"/>
      <c r="L16" s="90"/>
      <c r="M16" s="81"/>
      <c r="N16" s="81"/>
      <c r="O16" s="77"/>
      <c r="P16" s="81"/>
      <c r="Q16" s="28"/>
    </row>
    <row r="17" spans="2:17" ht="22.5" customHeight="1" x14ac:dyDescent="0.2">
      <c r="B17" s="70"/>
      <c r="C17" s="163" t="s">
        <v>34</v>
      </c>
      <c r="D17" s="163"/>
      <c r="E17" s="70"/>
      <c r="F17" s="6" t="s">
        <v>35</v>
      </c>
      <c r="G17" s="103"/>
      <c r="H17" s="9">
        <v>108</v>
      </c>
      <c r="I17" s="103"/>
      <c r="J17" s="135">
        <v>180.25</v>
      </c>
      <c r="K17" s="109"/>
      <c r="L17" s="80">
        <f t="shared" ref="L17:L22" si="0">H17*J17</f>
        <v>19467</v>
      </c>
      <c r="M17" s="81">
        <f t="shared" ref="M17:M36" si="1">L17/$M$3</f>
        <v>38.933999999999997</v>
      </c>
      <c r="N17" s="81"/>
      <c r="O17" s="91"/>
      <c r="P17" s="81"/>
      <c r="Q17" s="28"/>
    </row>
    <row r="18" spans="2:17" ht="22.5" customHeight="1" x14ac:dyDescent="0.2">
      <c r="B18" s="70"/>
      <c r="C18" s="163" t="s">
        <v>36</v>
      </c>
      <c r="D18" s="163"/>
      <c r="E18" s="70"/>
      <c r="F18" s="6" t="s">
        <v>35</v>
      </c>
      <c r="G18" s="103"/>
      <c r="H18" s="9">
        <v>50</v>
      </c>
      <c r="I18" s="103"/>
      <c r="J18" s="135">
        <v>145</v>
      </c>
      <c r="K18" s="109"/>
      <c r="L18" s="80">
        <f t="shared" si="0"/>
        <v>7250</v>
      </c>
      <c r="M18" s="81">
        <f t="shared" ref="M18:M22" si="2">L18/$M$3</f>
        <v>14.5</v>
      </c>
      <c r="N18" s="81"/>
      <c r="O18" s="91"/>
      <c r="P18" s="81"/>
      <c r="Q18" s="28"/>
    </row>
    <row r="19" spans="2:17" ht="22.5" customHeight="1" x14ac:dyDescent="0.2">
      <c r="B19" s="70"/>
      <c r="C19" s="163" t="s">
        <v>37</v>
      </c>
      <c r="D19" s="163"/>
      <c r="E19" s="70"/>
      <c r="F19" s="6" t="s">
        <v>38</v>
      </c>
      <c r="G19" s="103"/>
      <c r="H19" s="9">
        <v>563</v>
      </c>
      <c r="I19" s="103"/>
      <c r="J19" s="135">
        <v>34</v>
      </c>
      <c r="K19" s="109"/>
      <c r="L19" s="80">
        <f t="shared" ref="L19" si="3">H19*J19</f>
        <v>19142</v>
      </c>
      <c r="M19" s="81">
        <f t="shared" ref="M19" si="4">L19/$M$3</f>
        <v>38.283999999999999</v>
      </c>
      <c r="N19" s="81"/>
      <c r="O19" s="91"/>
      <c r="P19" s="81"/>
      <c r="Q19" s="28"/>
    </row>
    <row r="20" spans="2:17" ht="22.5" customHeight="1" x14ac:dyDescent="0.2">
      <c r="B20" s="70"/>
      <c r="C20" s="163" t="s">
        <v>39</v>
      </c>
      <c r="D20" s="163"/>
      <c r="E20" s="70"/>
      <c r="F20" s="6" t="s">
        <v>40</v>
      </c>
      <c r="G20" s="103"/>
      <c r="H20" s="9">
        <v>5624</v>
      </c>
      <c r="I20" s="103"/>
      <c r="J20" s="12">
        <v>1.35</v>
      </c>
      <c r="K20" s="109"/>
      <c r="L20" s="80">
        <f t="shared" si="0"/>
        <v>7592.4000000000005</v>
      </c>
      <c r="M20" s="81">
        <f t="shared" si="2"/>
        <v>15.184800000000001</v>
      </c>
      <c r="N20" s="81"/>
      <c r="O20" s="91"/>
      <c r="P20" s="81"/>
      <c r="Q20" s="28"/>
    </row>
    <row r="21" spans="2:17" ht="22.5" customHeight="1" x14ac:dyDescent="0.2">
      <c r="B21" s="70"/>
      <c r="C21" s="163" t="s">
        <v>41</v>
      </c>
      <c r="D21" s="163"/>
      <c r="E21" s="70"/>
      <c r="F21" s="6" t="s">
        <v>40</v>
      </c>
      <c r="G21" s="103"/>
      <c r="H21" s="9">
        <v>432</v>
      </c>
      <c r="I21" s="103"/>
      <c r="J21" s="12">
        <v>7.32</v>
      </c>
      <c r="K21" s="109"/>
      <c r="L21" s="80">
        <f t="shared" si="0"/>
        <v>3162.2400000000002</v>
      </c>
      <c r="M21" s="81">
        <f t="shared" si="2"/>
        <v>6.3244800000000003</v>
      </c>
      <c r="N21" s="81"/>
      <c r="O21" s="91"/>
      <c r="P21" s="81"/>
      <c r="Q21" s="28"/>
    </row>
    <row r="22" spans="2:17" ht="22.5" customHeight="1" x14ac:dyDescent="0.2">
      <c r="B22" s="70"/>
      <c r="C22" s="163" t="s">
        <v>42</v>
      </c>
      <c r="D22" s="163"/>
      <c r="E22" s="70"/>
      <c r="F22" s="6" t="s">
        <v>40</v>
      </c>
      <c r="G22" s="103"/>
      <c r="H22" s="9">
        <v>1108</v>
      </c>
      <c r="I22" s="103"/>
      <c r="J22" s="12">
        <v>19.5</v>
      </c>
      <c r="K22" s="109"/>
      <c r="L22" s="80">
        <f t="shared" si="0"/>
        <v>21606</v>
      </c>
      <c r="M22" s="81">
        <f t="shared" si="2"/>
        <v>43.212000000000003</v>
      </c>
      <c r="N22" s="81"/>
      <c r="O22" s="91"/>
      <c r="P22" s="81"/>
      <c r="Q22" s="28"/>
    </row>
    <row r="23" spans="2:17" ht="22.5" customHeight="1" x14ac:dyDescent="0.2">
      <c r="B23" s="70"/>
      <c r="C23" s="163" t="s">
        <v>43</v>
      </c>
      <c r="D23" s="163"/>
      <c r="E23" s="70"/>
      <c r="F23" s="6" t="s">
        <v>38</v>
      </c>
      <c r="G23" s="103"/>
      <c r="H23" s="9">
        <v>125</v>
      </c>
      <c r="I23" s="103"/>
      <c r="J23" s="135">
        <v>11</v>
      </c>
      <c r="K23" s="109"/>
      <c r="L23" s="80">
        <f t="shared" ref="L23:L35" si="5">H23*J23</f>
        <v>1375</v>
      </c>
      <c r="M23" s="81">
        <f t="shared" si="1"/>
        <v>2.75</v>
      </c>
      <c r="N23" s="81"/>
      <c r="O23" s="91"/>
      <c r="P23" s="81"/>
      <c r="Q23" s="28"/>
    </row>
    <row r="24" spans="2:17" ht="22.5" customHeight="1" x14ac:dyDescent="0.2">
      <c r="B24" s="70"/>
      <c r="C24" s="163" t="s">
        <v>44</v>
      </c>
      <c r="D24" s="163"/>
      <c r="E24" s="70"/>
      <c r="F24" s="6" t="s">
        <v>45</v>
      </c>
      <c r="G24" s="103"/>
      <c r="H24" s="9">
        <v>1</v>
      </c>
      <c r="I24" s="103"/>
      <c r="J24" s="159">
        <f>Vet!W32</f>
        <v>14089.785346354167</v>
      </c>
      <c r="K24" s="109"/>
      <c r="L24" s="80">
        <f>H24*J24</f>
        <v>14089.785346354167</v>
      </c>
      <c r="M24" s="81">
        <f t="shared" si="1"/>
        <v>28.179570692708335</v>
      </c>
      <c r="N24" s="81"/>
      <c r="O24" s="91"/>
      <c r="P24" s="81"/>
      <c r="Q24" s="28"/>
    </row>
    <row r="25" spans="2:17" ht="22.5" customHeight="1" x14ac:dyDescent="0.2">
      <c r="B25" s="70"/>
      <c r="C25" s="163" t="s">
        <v>46</v>
      </c>
      <c r="D25" s="163"/>
      <c r="E25" s="70"/>
      <c r="F25" s="6" t="s">
        <v>47</v>
      </c>
      <c r="G25" s="103"/>
      <c r="H25" s="9">
        <f>SUM(H11:H13)</f>
        <v>88</v>
      </c>
      <c r="I25" s="103"/>
      <c r="J25" s="135">
        <v>10</v>
      </c>
      <c r="K25" s="109"/>
      <c r="L25" s="80">
        <f t="shared" si="5"/>
        <v>880</v>
      </c>
      <c r="M25" s="81">
        <f t="shared" si="1"/>
        <v>1.76</v>
      </c>
      <c r="N25" s="81"/>
      <c r="O25" s="91"/>
      <c r="P25" s="81"/>
      <c r="Q25" s="28"/>
    </row>
    <row r="26" spans="2:17" ht="22.5" customHeight="1" x14ac:dyDescent="0.2">
      <c r="B26" s="70"/>
      <c r="C26" s="163" t="s">
        <v>48</v>
      </c>
      <c r="D26" s="163"/>
      <c r="E26" s="70"/>
      <c r="F26" s="6" t="s">
        <v>47</v>
      </c>
      <c r="G26" s="103"/>
      <c r="H26" s="9">
        <v>525</v>
      </c>
      <c r="I26" s="103"/>
      <c r="J26" s="135">
        <v>10</v>
      </c>
      <c r="K26" s="109"/>
      <c r="L26" s="80">
        <f t="shared" ref="L26" si="6">H26*J26</f>
        <v>5250</v>
      </c>
      <c r="M26" s="81">
        <f t="shared" ref="M26" si="7">L26/$M$3</f>
        <v>10.5</v>
      </c>
      <c r="N26" s="81"/>
      <c r="O26" s="91"/>
      <c r="P26" s="81"/>
      <c r="Q26" s="28"/>
    </row>
    <row r="27" spans="2:17" ht="22.5" customHeight="1" x14ac:dyDescent="0.2">
      <c r="B27" s="70"/>
      <c r="C27" s="163" t="s">
        <v>49</v>
      </c>
      <c r="D27" s="163"/>
      <c r="E27" s="70"/>
      <c r="F27" s="6" t="s">
        <v>50</v>
      </c>
      <c r="G27" s="103"/>
      <c r="H27" s="9">
        <v>480</v>
      </c>
      <c r="I27" s="103"/>
      <c r="J27" s="12">
        <v>18.190000000000001</v>
      </c>
      <c r="K27" s="109"/>
      <c r="L27" s="80">
        <f t="shared" si="5"/>
        <v>8731.2000000000007</v>
      </c>
      <c r="M27" s="81">
        <f t="shared" si="1"/>
        <v>17.462400000000002</v>
      </c>
      <c r="N27" s="81"/>
      <c r="O27" s="91"/>
      <c r="P27" s="81"/>
      <c r="Q27" s="28"/>
    </row>
    <row r="28" spans="2:17" ht="22.5" customHeight="1" x14ac:dyDescent="0.2">
      <c r="B28" s="70"/>
      <c r="C28" s="163" t="s">
        <v>51</v>
      </c>
      <c r="D28" s="163"/>
      <c r="E28" s="70"/>
      <c r="F28" s="6" t="s">
        <v>50</v>
      </c>
      <c r="G28" s="103"/>
      <c r="H28" s="9">
        <v>2100</v>
      </c>
      <c r="I28" s="103"/>
      <c r="J28" s="12">
        <v>31.12</v>
      </c>
      <c r="K28" s="109"/>
      <c r="L28" s="80">
        <f t="shared" si="5"/>
        <v>65352</v>
      </c>
      <c r="M28" s="81">
        <f t="shared" si="1"/>
        <v>130.70400000000001</v>
      </c>
      <c r="N28" s="81"/>
      <c r="O28" s="91"/>
      <c r="P28" s="81"/>
      <c r="Q28" s="28"/>
    </row>
    <row r="29" spans="2:17" ht="22.5" customHeight="1" x14ac:dyDescent="0.2">
      <c r="B29" s="70"/>
      <c r="C29" s="163" t="s">
        <v>52</v>
      </c>
      <c r="D29" s="163"/>
      <c r="E29" s="70"/>
      <c r="F29" s="6" t="s">
        <v>47</v>
      </c>
      <c r="G29" s="103"/>
      <c r="H29" s="9">
        <f>SUM(H11:H13)</f>
        <v>88</v>
      </c>
      <c r="I29" s="103"/>
      <c r="J29" s="12">
        <f>0.025*(L11+L12+L13)/H29</f>
        <v>21.926136363636363</v>
      </c>
      <c r="K29" s="109"/>
      <c r="L29" s="80">
        <f t="shared" si="5"/>
        <v>1929.5</v>
      </c>
      <c r="M29" s="81">
        <f t="shared" si="1"/>
        <v>3.859</v>
      </c>
      <c r="N29" s="81"/>
      <c r="O29" s="91"/>
      <c r="P29" s="81"/>
      <c r="Q29" s="28"/>
    </row>
    <row r="30" spans="2:17" ht="22.5" customHeight="1" x14ac:dyDescent="0.2">
      <c r="B30" s="70"/>
      <c r="C30" s="163" t="s">
        <v>53</v>
      </c>
      <c r="D30" s="163"/>
      <c r="E30" s="70"/>
      <c r="F30" s="6" t="s">
        <v>47</v>
      </c>
      <c r="G30" s="103"/>
      <c r="H30" s="9">
        <f>SUM(H9:H13)</f>
        <v>436</v>
      </c>
      <c r="I30" s="103"/>
      <c r="J30" s="12">
        <v>2.96</v>
      </c>
      <c r="K30" s="109"/>
      <c r="L30" s="80">
        <f t="shared" si="5"/>
        <v>1290.56</v>
      </c>
      <c r="M30" s="81">
        <f t="shared" si="1"/>
        <v>2.5811199999999999</v>
      </c>
      <c r="N30" s="81"/>
      <c r="O30" s="91"/>
      <c r="P30" s="81"/>
      <c r="Q30" s="28"/>
    </row>
    <row r="31" spans="2:17" ht="22.5" customHeight="1" x14ac:dyDescent="0.2">
      <c r="B31" s="70"/>
      <c r="C31" s="163" t="s">
        <v>54</v>
      </c>
      <c r="D31" s="163"/>
      <c r="E31" s="70"/>
      <c r="F31" s="6" t="s">
        <v>45</v>
      </c>
      <c r="G31" s="103"/>
      <c r="H31" s="9">
        <v>1</v>
      </c>
      <c r="I31" s="103"/>
      <c r="J31" s="159">
        <f>5100*(1+42.89%)</f>
        <v>7287.39</v>
      </c>
      <c r="K31" s="109"/>
      <c r="L31" s="80">
        <f>H31*J31</f>
        <v>7287.39</v>
      </c>
      <c r="M31" s="81">
        <f>L31/$M$3</f>
        <v>14.574780000000001</v>
      </c>
      <c r="N31" s="81"/>
      <c r="O31" s="91"/>
      <c r="P31" s="81"/>
      <c r="Q31" s="28"/>
    </row>
    <row r="32" spans="2:17" ht="22.5" customHeight="1" x14ac:dyDescent="0.2">
      <c r="B32" s="70"/>
      <c r="C32" s="163" t="s">
        <v>55</v>
      </c>
      <c r="D32" s="163"/>
      <c r="E32" s="70"/>
      <c r="F32" s="6" t="s">
        <v>45</v>
      </c>
      <c r="G32" s="103"/>
      <c r="H32" s="9">
        <v>1</v>
      </c>
      <c r="I32" s="103"/>
      <c r="J32" s="159">
        <f>10200*(1+43.23%)</f>
        <v>14609.46</v>
      </c>
      <c r="K32" s="109"/>
      <c r="L32" s="80">
        <f>H32*J32</f>
        <v>14609.46</v>
      </c>
      <c r="M32" s="81">
        <f>L32/$M$3</f>
        <v>29.218919999999997</v>
      </c>
      <c r="N32" s="81"/>
      <c r="O32" s="91"/>
      <c r="P32" s="81"/>
      <c r="Q32" s="28"/>
    </row>
    <row r="33" spans="2:19" ht="22.5" customHeight="1" x14ac:dyDescent="0.2">
      <c r="B33" s="70"/>
      <c r="C33" s="163" t="s">
        <v>56</v>
      </c>
      <c r="D33" s="163"/>
      <c r="E33" s="70"/>
      <c r="F33" s="6" t="s">
        <v>45</v>
      </c>
      <c r="G33" s="103"/>
      <c r="H33" s="9">
        <v>1</v>
      </c>
      <c r="I33" s="103"/>
      <c r="J33" s="159">
        <f>2100*(1+6.37%)</f>
        <v>2233.77</v>
      </c>
      <c r="K33" s="109"/>
      <c r="L33" s="80">
        <f>H33*J33</f>
        <v>2233.77</v>
      </c>
      <c r="M33" s="81">
        <f>L33/$M$3</f>
        <v>4.4675399999999996</v>
      </c>
      <c r="N33" s="81"/>
      <c r="O33" s="91"/>
      <c r="P33" s="81"/>
      <c r="Q33" s="28"/>
    </row>
    <row r="34" spans="2:19" ht="22.5" customHeight="1" x14ac:dyDescent="0.2">
      <c r="B34" s="70"/>
      <c r="C34" s="163" t="s">
        <v>57</v>
      </c>
      <c r="D34" s="163"/>
      <c r="E34" s="70"/>
      <c r="F34" s="6" t="s">
        <v>45</v>
      </c>
      <c r="G34" s="103"/>
      <c r="H34" s="9">
        <v>1</v>
      </c>
      <c r="I34" s="103"/>
      <c r="J34" s="159">
        <f>3200*(1+6.37%)</f>
        <v>3403.84</v>
      </c>
      <c r="K34" s="109"/>
      <c r="L34" s="80">
        <f t="shared" si="5"/>
        <v>3403.84</v>
      </c>
      <c r="M34" s="81">
        <f t="shared" si="1"/>
        <v>6.8076800000000004</v>
      </c>
      <c r="N34" s="81"/>
      <c r="O34" s="91"/>
      <c r="P34" s="81"/>
      <c r="Q34" s="28"/>
    </row>
    <row r="35" spans="2:19" ht="22.5" customHeight="1" x14ac:dyDescent="0.2">
      <c r="B35" s="70"/>
      <c r="C35" s="163" t="s">
        <v>58</v>
      </c>
      <c r="D35" s="163"/>
      <c r="E35" s="70"/>
      <c r="F35" s="6" t="s">
        <v>45</v>
      </c>
      <c r="G35" s="103"/>
      <c r="H35" s="9">
        <f>SUM(L17:L34)*0.25</f>
        <v>51163.036336588535</v>
      </c>
      <c r="I35" s="117"/>
      <c r="J35" s="160">
        <v>0.05</v>
      </c>
      <c r="K35" s="125"/>
      <c r="L35" s="83">
        <f t="shared" si="5"/>
        <v>2558.1518168294269</v>
      </c>
      <c r="M35" s="84">
        <f t="shared" si="1"/>
        <v>5.1163036336588537</v>
      </c>
      <c r="N35" s="81"/>
      <c r="O35" s="91"/>
      <c r="P35" s="81"/>
      <c r="Q35" s="28"/>
      <c r="S35" s="137"/>
    </row>
    <row r="36" spans="2:19" ht="22.5" customHeight="1" thickBot="1" x14ac:dyDescent="0.25">
      <c r="B36" s="70"/>
      <c r="C36" s="101" t="s">
        <v>59</v>
      </c>
      <c r="D36" s="73"/>
      <c r="E36" s="73"/>
      <c r="F36" s="102"/>
      <c r="G36" s="102"/>
      <c r="H36" s="102"/>
      <c r="I36" s="102"/>
      <c r="J36" s="106"/>
      <c r="K36" s="126"/>
      <c r="L36" s="92">
        <f>SUM(L17:L35)</f>
        <v>207210.29716318357</v>
      </c>
      <c r="M36" s="93">
        <f t="shared" si="1"/>
        <v>414.42059432636711</v>
      </c>
      <c r="N36" s="94"/>
      <c r="O36" s="88"/>
      <c r="P36" s="94"/>
      <c r="Q36" s="30"/>
    </row>
    <row r="37" spans="2:19" ht="22.5" customHeight="1" x14ac:dyDescent="0.2">
      <c r="B37" s="70"/>
      <c r="C37" s="104"/>
      <c r="D37" s="104"/>
      <c r="E37" s="104"/>
      <c r="F37" s="105"/>
      <c r="G37" s="105"/>
      <c r="H37" s="105"/>
      <c r="I37" s="105"/>
      <c r="J37" s="107"/>
      <c r="K37" s="127"/>
      <c r="L37" s="95"/>
      <c r="M37" s="96"/>
      <c r="N37" s="81"/>
      <c r="O37" s="77"/>
      <c r="P37" s="81"/>
      <c r="Q37" s="28"/>
    </row>
    <row r="38" spans="2:19" ht="22.5" customHeight="1" thickBot="1" x14ac:dyDescent="0.25">
      <c r="B38" s="70"/>
      <c r="C38" s="101" t="s">
        <v>60</v>
      </c>
      <c r="D38" s="73"/>
      <c r="E38" s="73"/>
      <c r="F38" s="102"/>
      <c r="G38" s="102"/>
      <c r="H38" s="102"/>
      <c r="I38" s="102"/>
      <c r="J38" s="106"/>
      <c r="K38" s="126"/>
      <c r="L38" s="97">
        <f>L14-L36</f>
        <v>163242.20283681643</v>
      </c>
      <c r="M38" s="93">
        <f>L38/$M$3</f>
        <v>326.48440567363286</v>
      </c>
      <c r="N38" s="94"/>
      <c r="O38" s="98"/>
      <c r="P38" s="94"/>
      <c r="Q38" s="30"/>
    </row>
    <row r="39" spans="2:19" ht="22.5" customHeight="1" x14ac:dyDescent="0.2">
      <c r="B39" s="70"/>
      <c r="C39" s="70"/>
      <c r="D39" s="70"/>
      <c r="E39" s="70"/>
      <c r="F39" s="103"/>
      <c r="G39" s="103"/>
      <c r="H39" s="103"/>
      <c r="I39" s="103"/>
      <c r="J39" s="108"/>
      <c r="K39" s="109"/>
      <c r="L39" s="90"/>
      <c r="M39" s="81"/>
      <c r="N39" s="81"/>
      <c r="O39" s="77"/>
      <c r="P39" s="81"/>
      <c r="Q39" s="28"/>
    </row>
    <row r="40" spans="2:19" ht="22.5" customHeight="1" thickBot="1" x14ac:dyDescent="0.25">
      <c r="B40" s="70"/>
      <c r="C40" s="101" t="s">
        <v>61</v>
      </c>
      <c r="D40" s="110"/>
      <c r="E40" s="70"/>
      <c r="F40" s="103"/>
      <c r="G40" s="103"/>
      <c r="H40" s="103"/>
      <c r="I40" s="103"/>
      <c r="J40" s="108"/>
      <c r="K40" s="109"/>
      <c r="L40" s="90"/>
      <c r="M40" s="81"/>
      <c r="N40" s="81"/>
      <c r="O40" s="77"/>
      <c r="P40" s="81"/>
      <c r="Q40" s="28"/>
    </row>
    <row r="41" spans="2:19" ht="22.5" customHeight="1" x14ac:dyDescent="0.2">
      <c r="B41" s="70"/>
      <c r="C41" s="111" t="s">
        <v>62</v>
      </c>
      <c r="D41" s="70"/>
      <c r="E41" s="70"/>
      <c r="F41" s="103"/>
      <c r="G41" s="103"/>
      <c r="H41" s="103"/>
      <c r="I41" s="103"/>
      <c r="J41" s="108"/>
      <c r="K41" s="109"/>
      <c r="L41" s="90"/>
      <c r="M41" s="81"/>
      <c r="N41" s="81"/>
      <c r="O41" s="77"/>
      <c r="P41" s="81"/>
      <c r="Q41" s="28"/>
    </row>
    <row r="42" spans="2:19" ht="22.5" customHeight="1" x14ac:dyDescent="0.2">
      <c r="B42" s="70"/>
      <c r="C42" s="163" t="s">
        <v>63</v>
      </c>
      <c r="D42" s="163"/>
      <c r="E42" s="70"/>
      <c r="F42" s="6" t="s">
        <v>45</v>
      </c>
      <c r="G42" s="103"/>
      <c r="H42" s="9">
        <v>1</v>
      </c>
      <c r="I42" s="103"/>
      <c r="J42" s="10">
        <f>Investment!I23</f>
        <v>25621.743999999999</v>
      </c>
      <c r="K42" s="109"/>
      <c r="L42" s="90">
        <f t="shared" ref="L42:L49" si="8">H42*J42</f>
        <v>25621.743999999999</v>
      </c>
      <c r="M42" s="81">
        <f>L42/$M$3</f>
        <v>51.243487999999999</v>
      </c>
      <c r="N42" s="81"/>
      <c r="O42" s="91"/>
      <c r="P42" s="81"/>
      <c r="Q42" s="28"/>
    </row>
    <row r="43" spans="2:19" ht="22.5" customHeight="1" x14ac:dyDescent="0.2">
      <c r="B43" s="70"/>
      <c r="C43" s="163" t="s">
        <v>64</v>
      </c>
      <c r="D43" s="163"/>
      <c r="E43" s="70"/>
      <c r="F43" s="6" t="s">
        <v>45</v>
      </c>
      <c r="G43" s="103"/>
      <c r="H43" s="9">
        <v>1</v>
      </c>
      <c r="I43" s="103"/>
      <c r="J43" s="10">
        <f>Investment!I7+Investment!I8+Investment!I9+Investment!I10</f>
        <v>6725.4</v>
      </c>
      <c r="K43" s="109"/>
      <c r="L43" s="90">
        <f>H43*J43</f>
        <v>6725.4</v>
      </c>
      <c r="M43" s="81">
        <f>L43/$M$3</f>
        <v>13.450799999999999</v>
      </c>
      <c r="N43" s="81"/>
      <c r="O43" s="91"/>
      <c r="P43" s="81"/>
      <c r="Q43" s="28"/>
    </row>
    <row r="44" spans="2:19" ht="22.5" customHeight="1" x14ac:dyDescent="0.2">
      <c r="B44" s="70"/>
      <c r="C44" s="163" t="s">
        <v>65</v>
      </c>
      <c r="D44" s="163"/>
      <c r="E44" s="70"/>
      <c r="F44" s="6" t="s">
        <v>45</v>
      </c>
      <c r="G44" s="103"/>
      <c r="H44" s="9">
        <v>1</v>
      </c>
      <c r="I44" s="103"/>
      <c r="J44" s="10">
        <f>Investment!I34+Investment!I35</f>
        <v>4033.3999999999996</v>
      </c>
      <c r="K44" s="109"/>
      <c r="L44" s="90">
        <f t="shared" si="8"/>
        <v>4033.3999999999996</v>
      </c>
      <c r="M44" s="81">
        <f t="shared" ref="M44:M50" si="9">L44/$M$3</f>
        <v>8.0667999999999989</v>
      </c>
      <c r="N44" s="81"/>
      <c r="O44" s="91"/>
      <c r="P44" s="81"/>
      <c r="Q44" s="28"/>
    </row>
    <row r="45" spans="2:19" ht="22.5" customHeight="1" x14ac:dyDescent="0.2">
      <c r="B45" s="70"/>
      <c r="C45" s="163" t="s">
        <v>66</v>
      </c>
      <c r="D45" s="163"/>
      <c r="E45" s="70"/>
      <c r="F45" s="6" t="s">
        <v>45</v>
      </c>
      <c r="G45" s="103"/>
      <c r="H45" s="9">
        <v>1</v>
      </c>
      <c r="I45" s="103"/>
      <c r="J45" s="10">
        <f>Investment!I11+Investment!I12+Investment!I13+Investment!I14</f>
        <v>1213.3400000000001</v>
      </c>
      <c r="K45" s="109"/>
      <c r="L45" s="90">
        <f t="shared" si="8"/>
        <v>1213.3400000000001</v>
      </c>
      <c r="M45" s="81">
        <f t="shared" si="9"/>
        <v>2.4266800000000002</v>
      </c>
      <c r="N45" s="81"/>
      <c r="O45" s="91"/>
      <c r="P45" s="81"/>
      <c r="Q45" s="28"/>
    </row>
    <row r="46" spans="2:19" ht="22.5" customHeight="1" x14ac:dyDescent="0.2">
      <c r="B46" s="70"/>
      <c r="C46" s="163" t="s">
        <v>67</v>
      </c>
      <c r="D46" s="163"/>
      <c r="E46" s="70"/>
      <c r="F46" s="6" t="s">
        <v>45</v>
      </c>
      <c r="G46" s="103"/>
      <c r="H46" s="9">
        <v>1</v>
      </c>
      <c r="I46" s="103"/>
      <c r="J46" s="10">
        <f>Investment!I36+Investment!I37+Investment!I38+Investment!I39+Investment!I40</f>
        <v>12992.5</v>
      </c>
      <c r="K46" s="109"/>
      <c r="L46" s="90">
        <f t="shared" si="8"/>
        <v>12992.5</v>
      </c>
      <c r="M46" s="81">
        <f t="shared" si="9"/>
        <v>25.984999999999999</v>
      </c>
      <c r="N46" s="81"/>
      <c r="O46" s="91"/>
      <c r="P46" s="81"/>
      <c r="Q46" s="28"/>
    </row>
    <row r="47" spans="2:19" ht="22.5" customHeight="1" x14ac:dyDescent="0.2">
      <c r="B47" s="70"/>
      <c r="C47" s="163" t="s">
        <v>68</v>
      </c>
      <c r="D47" s="163"/>
      <c r="E47" s="70"/>
      <c r="F47" s="6" t="s">
        <v>45</v>
      </c>
      <c r="G47" s="103"/>
      <c r="H47" s="9">
        <f>Investment!D30</f>
        <v>746000</v>
      </c>
      <c r="I47" s="103"/>
      <c r="J47" s="160">
        <v>5.0599999999999999E-2</v>
      </c>
      <c r="K47" s="109"/>
      <c r="L47" s="90">
        <f t="shared" si="8"/>
        <v>37747.599999999999</v>
      </c>
      <c r="M47" s="81">
        <f t="shared" si="9"/>
        <v>75.495199999999997</v>
      </c>
      <c r="N47" s="81"/>
      <c r="O47" s="91"/>
      <c r="P47" s="81"/>
      <c r="Q47" s="28"/>
    </row>
    <row r="48" spans="2:19" ht="22.5" customHeight="1" x14ac:dyDescent="0.2">
      <c r="B48" s="70"/>
      <c r="C48" s="163" t="s">
        <v>69</v>
      </c>
      <c r="D48" s="163"/>
      <c r="E48" s="70"/>
      <c r="F48" s="6" t="s">
        <v>45</v>
      </c>
      <c r="G48" s="103"/>
      <c r="H48" s="9">
        <v>1</v>
      </c>
      <c r="I48" s="117"/>
      <c r="J48" s="10">
        <v>1500</v>
      </c>
      <c r="K48" s="109"/>
      <c r="L48" s="90">
        <f t="shared" si="8"/>
        <v>1500</v>
      </c>
      <c r="M48" s="81">
        <f t="shared" si="9"/>
        <v>3</v>
      </c>
      <c r="N48" s="81"/>
      <c r="O48" s="91"/>
      <c r="P48" s="81"/>
      <c r="Q48" s="28"/>
    </row>
    <row r="49" spans="2:17" ht="22.5" customHeight="1" x14ac:dyDescent="0.2">
      <c r="B49" s="70"/>
      <c r="C49" s="163" t="s">
        <v>70</v>
      </c>
      <c r="D49" s="163"/>
      <c r="E49" s="70"/>
      <c r="F49" s="6" t="s">
        <v>45</v>
      </c>
      <c r="G49" s="103"/>
      <c r="H49" s="9">
        <v>1</v>
      </c>
      <c r="I49" s="117"/>
      <c r="J49" s="10">
        <v>8000</v>
      </c>
      <c r="K49" s="109"/>
      <c r="L49" s="99">
        <f t="shared" si="8"/>
        <v>8000</v>
      </c>
      <c r="M49" s="84">
        <f t="shared" si="9"/>
        <v>16</v>
      </c>
      <c r="N49" s="81"/>
      <c r="O49" s="91"/>
      <c r="P49" s="81"/>
      <c r="Q49" s="28"/>
    </row>
    <row r="50" spans="2:17" ht="22.5" customHeight="1" thickBot="1" x14ac:dyDescent="0.25">
      <c r="B50" s="70"/>
      <c r="C50" s="101" t="s">
        <v>71</v>
      </c>
      <c r="D50" s="73"/>
      <c r="E50" s="73"/>
      <c r="F50" s="102"/>
      <c r="G50" s="102"/>
      <c r="H50" s="102"/>
      <c r="I50" s="102"/>
      <c r="J50" s="102"/>
      <c r="K50" s="73"/>
      <c r="L50" s="92">
        <f>SUM(L42:L49)</f>
        <v>97833.983999999997</v>
      </c>
      <c r="M50" s="93">
        <f t="shared" si="9"/>
        <v>195.667968</v>
      </c>
      <c r="N50" s="94"/>
      <c r="O50" s="88"/>
      <c r="P50" s="94"/>
      <c r="Q50" s="30"/>
    </row>
    <row r="51" spans="2:17" ht="22.5" customHeight="1" x14ac:dyDescent="0.2">
      <c r="B51" s="70"/>
      <c r="C51" s="70"/>
      <c r="D51" s="70"/>
      <c r="E51" s="70"/>
      <c r="F51" s="103"/>
      <c r="G51" s="103"/>
      <c r="H51" s="103"/>
      <c r="I51" s="103"/>
      <c r="J51" s="103"/>
      <c r="K51" s="70"/>
      <c r="L51" s="90"/>
      <c r="M51" s="84"/>
      <c r="N51" s="81"/>
      <c r="O51" s="77"/>
      <c r="P51" s="81"/>
      <c r="Q51" s="28"/>
    </row>
    <row r="52" spans="2:17" ht="22.5" customHeight="1" thickBot="1" x14ac:dyDescent="0.25">
      <c r="B52" s="70"/>
      <c r="C52" s="101" t="s">
        <v>72</v>
      </c>
      <c r="D52" s="73"/>
      <c r="E52" s="73"/>
      <c r="F52" s="102"/>
      <c r="G52" s="102"/>
      <c r="H52" s="102"/>
      <c r="I52" s="102"/>
      <c r="J52" s="102"/>
      <c r="K52" s="73"/>
      <c r="L52" s="97">
        <f>+L36+L50</f>
        <v>305044.28116318356</v>
      </c>
      <c r="M52" s="93">
        <f>L52/$M$3</f>
        <v>610.08856232636708</v>
      </c>
      <c r="N52" s="94"/>
      <c r="O52" s="98"/>
      <c r="P52" s="94"/>
      <c r="Q52" s="30"/>
    </row>
    <row r="53" spans="2:17" ht="22.5" customHeight="1" x14ac:dyDescent="0.2">
      <c r="B53" s="70"/>
      <c r="C53" s="104"/>
      <c r="D53" s="104"/>
      <c r="E53" s="104"/>
      <c r="F53" s="105"/>
      <c r="G53" s="105"/>
      <c r="H53" s="105"/>
      <c r="I53" s="105"/>
      <c r="J53" s="105"/>
      <c r="K53" s="104"/>
      <c r="L53" s="95"/>
      <c r="M53" s="96"/>
      <c r="N53" s="81"/>
      <c r="O53" s="77"/>
      <c r="P53" s="81"/>
      <c r="Q53" s="28"/>
    </row>
    <row r="54" spans="2:17" ht="22.5" customHeight="1" thickBot="1" x14ac:dyDescent="0.25">
      <c r="B54" s="70"/>
      <c r="C54" s="101" t="s">
        <v>73</v>
      </c>
      <c r="D54" s="73"/>
      <c r="E54" s="73"/>
      <c r="F54" s="102"/>
      <c r="G54" s="102"/>
      <c r="H54" s="102"/>
      <c r="I54" s="102"/>
      <c r="J54" s="102"/>
      <c r="K54" s="73"/>
      <c r="L54" s="97">
        <f>+L14-L52</f>
        <v>65408.218836816435</v>
      </c>
      <c r="M54" s="100">
        <f>L54/$M$3</f>
        <v>130.81643767363286</v>
      </c>
      <c r="N54" s="94"/>
      <c r="O54" s="98"/>
      <c r="P54" s="94"/>
      <c r="Q54" s="30"/>
    </row>
    <row r="55" spans="2:17" ht="22.5" customHeight="1" x14ac:dyDescent="0.2">
      <c r="B55" s="70"/>
      <c r="C55" s="70"/>
      <c r="D55" s="70"/>
      <c r="E55" s="70"/>
      <c r="F55" s="103"/>
      <c r="G55" s="103"/>
      <c r="H55" s="103"/>
      <c r="I55" s="103"/>
      <c r="J55" s="103"/>
      <c r="K55" s="70"/>
      <c r="L55" s="77"/>
      <c r="M55" s="77"/>
      <c r="N55" s="77"/>
      <c r="O55" s="77"/>
      <c r="P55" s="77"/>
    </row>
    <row r="56" spans="2:17" s="4" customFormat="1" x14ac:dyDescent="0.2">
      <c r="F56" s="5"/>
      <c r="G56" s="5"/>
      <c r="H56" s="5"/>
      <c r="I56" s="5"/>
      <c r="J56" s="5"/>
    </row>
    <row r="57" spans="2:17" s="4" customFormat="1" x14ac:dyDescent="0.2">
      <c r="F57" s="5"/>
      <c r="G57" s="5"/>
      <c r="H57" s="5"/>
      <c r="I57" s="5"/>
      <c r="J57" s="5"/>
    </row>
    <row r="58" spans="2:17" s="4" customFormat="1" x14ac:dyDescent="0.2">
      <c r="F58" s="5"/>
      <c r="G58" s="5"/>
      <c r="H58" s="5"/>
      <c r="I58" s="5"/>
      <c r="J58" s="5"/>
    </row>
    <row r="59" spans="2:17" s="4" customFormat="1" x14ac:dyDescent="0.2">
      <c r="F59" s="5"/>
      <c r="G59" s="5"/>
      <c r="H59" s="5"/>
      <c r="I59" s="5"/>
      <c r="J59" s="5"/>
    </row>
    <row r="60" spans="2:17" s="4" customFormat="1" x14ac:dyDescent="0.2">
      <c r="F60" s="5"/>
      <c r="G60" s="5"/>
      <c r="H60" s="5"/>
      <c r="I60" s="5"/>
      <c r="J60" s="5"/>
    </row>
    <row r="61" spans="2:17" s="4" customFormat="1" x14ac:dyDescent="0.2">
      <c r="F61" s="5"/>
      <c r="G61" s="5"/>
      <c r="H61" s="5"/>
      <c r="I61" s="5"/>
      <c r="J61" s="5"/>
    </row>
    <row r="62" spans="2:17" s="4" customFormat="1" x14ac:dyDescent="0.2">
      <c r="F62" s="5"/>
      <c r="G62" s="5"/>
      <c r="H62" s="5"/>
      <c r="I62" s="5"/>
      <c r="J62" s="5"/>
    </row>
    <row r="63" spans="2:17" s="4" customFormat="1" x14ac:dyDescent="0.2">
      <c r="F63" s="5"/>
      <c r="G63" s="5"/>
      <c r="H63" s="5"/>
      <c r="I63" s="5"/>
      <c r="J63" s="5"/>
    </row>
    <row r="64" spans="2:17" s="4" customFormat="1" x14ac:dyDescent="0.2">
      <c r="F64" s="5"/>
      <c r="G64" s="5"/>
      <c r="H64" s="5"/>
      <c r="I64" s="5"/>
      <c r="J64" s="5"/>
    </row>
    <row r="65" spans="6:10" s="4" customFormat="1" x14ac:dyDescent="0.2">
      <c r="F65" s="5"/>
      <c r="G65" s="5"/>
      <c r="H65" s="5"/>
      <c r="I65" s="5"/>
      <c r="J65" s="5"/>
    </row>
    <row r="66" spans="6:10" s="4" customFormat="1" x14ac:dyDescent="0.2">
      <c r="F66" s="5"/>
      <c r="G66" s="5"/>
      <c r="H66" s="5"/>
      <c r="I66" s="5"/>
      <c r="J66" s="5"/>
    </row>
    <row r="67" spans="6:10" s="4" customFormat="1" x14ac:dyDescent="0.2">
      <c r="F67" s="5"/>
      <c r="G67" s="5"/>
      <c r="H67" s="5"/>
      <c r="I67" s="5"/>
      <c r="J67" s="5"/>
    </row>
    <row r="68" spans="6:10" s="4" customFormat="1" x14ac:dyDescent="0.2">
      <c r="F68" s="5"/>
      <c r="G68" s="5"/>
      <c r="H68" s="5"/>
      <c r="I68" s="5"/>
      <c r="J68" s="5"/>
    </row>
    <row r="69" spans="6:10" s="4" customFormat="1" x14ac:dyDescent="0.2">
      <c r="F69" s="5"/>
      <c r="G69" s="5"/>
      <c r="H69" s="5"/>
      <c r="I69" s="5"/>
      <c r="J69" s="5"/>
    </row>
    <row r="70" spans="6:10" s="4" customFormat="1" x14ac:dyDescent="0.2">
      <c r="F70" s="5"/>
      <c r="G70" s="5"/>
      <c r="H70" s="5"/>
      <c r="I70" s="5"/>
      <c r="J70" s="5"/>
    </row>
    <row r="71" spans="6:10" s="4" customFormat="1" x14ac:dyDescent="0.2">
      <c r="F71" s="5"/>
      <c r="G71" s="5"/>
      <c r="H71" s="5"/>
      <c r="I71" s="5"/>
      <c r="J71" s="5"/>
    </row>
    <row r="72" spans="6:10" s="4" customFormat="1" x14ac:dyDescent="0.2">
      <c r="F72" s="5"/>
      <c r="G72" s="5"/>
      <c r="H72" s="5"/>
      <c r="I72" s="5"/>
      <c r="J72" s="5"/>
    </row>
    <row r="73" spans="6:10" s="4" customFormat="1" x14ac:dyDescent="0.2">
      <c r="F73" s="5"/>
      <c r="G73" s="5"/>
      <c r="H73" s="5"/>
      <c r="I73" s="5"/>
      <c r="J73" s="5"/>
    </row>
    <row r="74" spans="6:10" s="4" customFormat="1" x14ac:dyDescent="0.2">
      <c r="F74" s="5"/>
      <c r="G74" s="5"/>
      <c r="H74" s="5"/>
      <c r="I74" s="5"/>
      <c r="J74" s="5"/>
    </row>
    <row r="75" spans="6:10" s="4" customFormat="1" x14ac:dyDescent="0.2">
      <c r="F75" s="5"/>
      <c r="G75" s="5"/>
      <c r="H75" s="5"/>
      <c r="I75" s="5"/>
      <c r="J75" s="5"/>
    </row>
    <row r="76" spans="6:10" s="4" customFormat="1" x14ac:dyDescent="0.2">
      <c r="F76" s="5"/>
      <c r="G76" s="5"/>
      <c r="H76" s="5"/>
      <c r="I76" s="5"/>
      <c r="J76" s="5"/>
    </row>
    <row r="77" spans="6:10" s="4" customFormat="1" x14ac:dyDescent="0.2">
      <c r="F77" s="5"/>
      <c r="G77" s="5"/>
      <c r="H77" s="5"/>
      <c r="I77" s="5"/>
      <c r="J77" s="5"/>
    </row>
    <row r="78" spans="6:10" s="4" customFormat="1" x14ac:dyDescent="0.2">
      <c r="F78" s="5"/>
      <c r="G78" s="5"/>
      <c r="H78" s="5"/>
      <c r="I78" s="5"/>
      <c r="J78" s="5"/>
    </row>
    <row r="79" spans="6:10" s="4" customFormat="1" x14ac:dyDescent="0.2">
      <c r="F79" s="5"/>
      <c r="G79" s="5"/>
      <c r="H79" s="5"/>
      <c r="I79" s="5"/>
      <c r="J79" s="5"/>
    </row>
    <row r="80" spans="6:10" s="4" customFormat="1" x14ac:dyDescent="0.2">
      <c r="F80" s="5"/>
      <c r="G80" s="5"/>
      <c r="H80" s="5"/>
      <c r="I80" s="5"/>
      <c r="J80" s="5"/>
    </row>
    <row r="81" spans="6:10" s="4" customFormat="1" x14ac:dyDescent="0.2">
      <c r="F81" s="5"/>
      <c r="G81" s="5"/>
      <c r="H81" s="5"/>
      <c r="I81" s="5"/>
      <c r="J81" s="5"/>
    </row>
    <row r="82" spans="6:10" s="4" customFormat="1" x14ac:dyDescent="0.2">
      <c r="F82" s="5"/>
      <c r="G82" s="5"/>
      <c r="H82" s="5"/>
      <c r="I82" s="5"/>
      <c r="J82" s="5"/>
    </row>
    <row r="83" spans="6:10" s="4" customFormat="1" x14ac:dyDescent="0.2">
      <c r="F83" s="5"/>
      <c r="G83" s="5"/>
      <c r="H83" s="5"/>
      <c r="I83" s="5"/>
      <c r="J83" s="5"/>
    </row>
    <row r="84" spans="6:10" s="4" customFormat="1" x14ac:dyDescent="0.2">
      <c r="F84" s="5"/>
      <c r="G84" s="5"/>
      <c r="H84" s="5"/>
      <c r="I84" s="5"/>
      <c r="J84" s="5"/>
    </row>
    <row r="85" spans="6:10" s="4" customFormat="1" x14ac:dyDescent="0.2">
      <c r="F85" s="5"/>
      <c r="G85" s="5"/>
      <c r="H85" s="5"/>
      <c r="I85" s="5"/>
      <c r="J85" s="5"/>
    </row>
    <row r="86" spans="6:10" s="4" customFormat="1" x14ac:dyDescent="0.2">
      <c r="F86" s="5"/>
      <c r="G86" s="5"/>
      <c r="H86" s="5"/>
      <c r="I86" s="5"/>
      <c r="J86" s="5"/>
    </row>
    <row r="87" spans="6:10" s="4" customFormat="1" x14ac:dyDescent="0.2">
      <c r="F87" s="5"/>
      <c r="G87" s="5"/>
      <c r="H87" s="5"/>
      <c r="I87" s="5"/>
      <c r="J87" s="5"/>
    </row>
    <row r="88" spans="6:10" s="4" customFormat="1" x14ac:dyDescent="0.2">
      <c r="F88" s="5"/>
      <c r="G88" s="5"/>
      <c r="H88" s="5"/>
      <c r="I88" s="5"/>
      <c r="J88" s="5"/>
    </row>
    <row r="89" spans="6:10" s="4" customFormat="1" x14ac:dyDescent="0.2">
      <c r="F89" s="5"/>
      <c r="G89" s="5"/>
      <c r="H89" s="5"/>
      <c r="I89" s="5"/>
      <c r="J89" s="5"/>
    </row>
    <row r="90" spans="6:10" s="4" customFormat="1" x14ac:dyDescent="0.2">
      <c r="F90" s="5"/>
      <c r="G90" s="5"/>
      <c r="H90" s="5"/>
      <c r="I90" s="5"/>
      <c r="J90" s="5"/>
    </row>
    <row r="91" spans="6:10" s="4" customFormat="1" x14ac:dyDescent="0.2">
      <c r="F91" s="5"/>
      <c r="G91" s="5"/>
      <c r="H91" s="5"/>
      <c r="I91" s="5"/>
      <c r="J91" s="5"/>
    </row>
    <row r="92" spans="6:10" s="4" customFormat="1" x14ac:dyDescent="0.2">
      <c r="F92" s="5"/>
      <c r="G92" s="5"/>
      <c r="H92" s="5"/>
      <c r="I92" s="5"/>
      <c r="J92" s="5"/>
    </row>
    <row r="93" spans="6:10" s="4" customFormat="1" x14ac:dyDescent="0.2">
      <c r="F93" s="5"/>
      <c r="G93" s="5"/>
      <c r="H93" s="5"/>
      <c r="I93" s="5"/>
      <c r="J93" s="5"/>
    </row>
    <row r="94" spans="6:10" s="4" customFormat="1" x14ac:dyDescent="0.2">
      <c r="F94" s="5"/>
      <c r="G94" s="5"/>
      <c r="H94" s="5"/>
      <c r="I94" s="5"/>
      <c r="J94" s="5"/>
    </row>
    <row r="95" spans="6:10" s="4" customFormat="1" x14ac:dyDescent="0.2">
      <c r="F95" s="5"/>
      <c r="G95" s="5"/>
      <c r="H95" s="5"/>
      <c r="I95" s="5"/>
      <c r="J95" s="5"/>
    </row>
    <row r="96" spans="6:10" s="4" customFormat="1" x14ac:dyDescent="0.2">
      <c r="F96" s="5"/>
      <c r="G96" s="5"/>
      <c r="H96" s="5"/>
      <c r="I96" s="5"/>
      <c r="J96" s="5"/>
    </row>
    <row r="97" spans="6:10" s="4" customFormat="1" x14ac:dyDescent="0.2">
      <c r="F97" s="5"/>
      <c r="G97" s="5"/>
      <c r="H97" s="5"/>
      <c r="I97" s="5"/>
      <c r="J97" s="5"/>
    </row>
    <row r="98" spans="6:10" s="4" customFormat="1" x14ac:dyDescent="0.2">
      <c r="F98" s="5"/>
      <c r="G98" s="5"/>
      <c r="H98" s="5"/>
      <c r="I98" s="5"/>
      <c r="J98" s="5"/>
    </row>
    <row r="99" spans="6:10" s="4" customFormat="1" x14ac:dyDescent="0.2">
      <c r="F99" s="5"/>
      <c r="G99" s="5"/>
      <c r="H99" s="5"/>
      <c r="I99" s="5"/>
      <c r="J99" s="5"/>
    </row>
    <row r="100" spans="6:10" s="4" customFormat="1" x14ac:dyDescent="0.2">
      <c r="F100" s="5"/>
      <c r="G100" s="5"/>
      <c r="H100" s="5"/>
      <c r="I100" s="5"/>
      <c r="J100" s="5"/>
    </row>
    <row r="101" spans="6:10" s="4" customFormat="1" x14ac:dyDescent="0.2">
      <c r="F101" s="5"/>
      <c r="G101" s="5"/>
      <c r="H101" s="5"/>
      <c r="I101" s="5"/>
      <c r="J101" s="5"/>
    </row>
    <row r="102" spans="6:10" s="4" customFormat="1" x14ac:dyDescent="0.2">
      <c r="F102" s="5"/>
      <c r="G102" s="5"/>
      <c r="H102" s="5"/>
      <c r="I102" s="5"/>
      <c r="J102" s="5"/>
    </row>
    <row r="103" spans="6:10" s="4" customFormat="1" x14ac:dyDescent="0.2">
      <c r="F103" s="5"/>
      <c r="G103" s="5"/>
      <c r="H103" s="5"/>
      <c r="I103" s="5"/>
      <c r="J103" s="5"/>
    </row>
    <row r="104" spans="6:10" s="4" customFormat="1" x14ac:dyDescent="0.2">
      <c r="F104" s="5"/>
      <c r="G104" s="5"/>
      <c r="H104" s="5"/>
      <c r="I104" s="5"/>
      <c r="J104" s="5"/>
    </row>
  </sheetData>
  <sheetProtection selectLockedCells="1"/>
  <mergeCells count="30">
    <mergeCell ref="R8:S8"/>
    <mergeCell ref="C49:D49"/>
    <mergeCell ref="C45:D45"/>
    <mergeCell ref="C46:D46"/>
    <mergeCell ref="C47:D47"/>
    <mergeCell ref="C42:D42"/>
    <mergeCell ref="C44:D44"/>
    <mergeCell ref="C32:D32"/>
    <mergeCell ref="C31:D31"/>
    <mergeCell ref="C25:D25"/>
    <mergeCell ref="C35:D35"/>
    <mergeCell ref="C34:D34"/>
    <mergeCell ref="C30:D30"/>
    <mergeCell ref="C29:D29"/>
    <mergeCell ref="C26:D26"/>
    <mergeCell ref="B3:K3"/>
    <mergeCell ref="C48:D48"/>
    <mergeCell ref="C4:F4"/>
    <mergeCell ref="C28:D28"/>
    <mergeCell ref="C27:D27"/>
    <mergeCell ref="C33:D33"/>
    <mergeCell ref="C17:D17"/>
    <mergeCell ref="C24:D24"/>
    <mergeCell ref="C23:D23"/>
    <mergeCell ref="C43:D43"/>
    <mergeCell ref="C18:D18"/>
    <mergeCell ref="C20:D20"/>
    <mergeCell ref="C19:D19"/>
    <mergeCell ref="C21:D21"/>
    <mergeCell ref="C22:D22"/>
  </mergeCells>
  <pageMargins left="0.83" right="0.4" top="0.78" bottom="0.63" header="0.5" footer="0.5"/>
  <pageSetup scale="57" orientation="portrait" r:id="rId1"/>
  <headerFooter alignWithMargins="0"/>
  <rowBreaks count="1" manualBreakCount="1">
    <brk id="55" max="16383" man="1"/>
  </rowBreaks>
  <ignoredErrors>
    <ignoredError sqref="H47 J42:J46 H30 J29 H35 J2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S79"/>
  <sheetViews>
    <sheetView zoomScale="60" zoomScaleNormal="60" workbookViewId="0">
      <selection activeCell="P2" sqref="P2"/>
    </sheetView>
  </sheetViews>
  <sheetFormatPr baseColWidth="10" defaultColWidth="9" defaultRowHeight="18" x14ac:dyDescent="0.2"/>
  <cols>
    <col min="1" max="1" width="3" style="37" customWidth="1"/>
    <col min="2" max="2" width="2.5" style="37" customWidth="1"/>
    <col min="3" max="3" width="38.83203125" style="14" bestFit="1" customWidth="1"/>
    <col min="4" max="16" width="10.5" style="14" customWidth="1"/>
    <col min="17" max="17" width="9" style="14"/>
    <col min="18" max="18" width="9.5" style="14" bestFit="1" customWidth="1"/>
    <col min="19" max="16384" width="9" style="14"/>
  </cols>
  <sheetData>
    <row r="1" spans="1:18" s="37" customFormat="1" x14ac:dyDescent="0.2"/>
    <row r="2" spans="1:18" s="17" customFormat="1" ht="30" customHeight="1" x14ac:dyDescent="0.2">
      <c r="A2" s="130"/>
      <c r="B2" s="20" t="s">
        <v>74</v>
      </c>
      <c r="C2" s="20"/>
      <c r="D2" s="20"/>
      <c r="E2" s="20"/>
      <c r="F2" s="20"/>
      <c r="G2" s="20"/>
      <c r="H2" s="20"/>
      <c r="I2" s="20"/>
      <c r="J2" s="20"/>
      <c r="K2" s="20"/>
      <c r="L2" s="58"/>
      <c r="M2" s="59"/>
      <c r="N2" s="59"/>
      <c r="O2" s="59"/>
      <c r="P2" s="34" t="s">
        <v>1</v>
      </c>
    </row>
    <row r="3" spans="1:18" s="17" customFormat="1" ht="30" customHeight="1" thickBot="1" x14ac:dyDescent="0.25">
      <c r="A3" s="130"/>
      <c r="B3" s="120"/>
      <c r="C3" s="35"/>
      <c r="D3" s="60" t="s">
        <v>75</v>
      </c>
      <c r="E3" s="60" t="s">
        <v>76</v>
      </c>
      <c r="F3" s="60" t="s">
        <v>77</v>
      </c>
      <c r="G3" s="60" t="s">
        <v>78</v>
      </c>
      <c r="H3" s="60" t="s">
        <v>79</v>
      </c>
      <c r="I3" s="60" t="s">
        <v>80</v>
      </c>
      <c r="J3" s="60" t="s">
        <v>81</v>
      </c>
      <c r="K3" s="60" t="s">
        <v>82</v>
      </c>
      <c r="L3" s="60" t="s">
        <v>83</v>
      </c>
      <c r="M3" s="60" t="s">
        <v>84</v>
      </c>
      <c r="N3" s="60" t="s">
        <v>85</v>
      </c>
      <c r="O3" s="60" t="s">
        <v>86</v>
      </c>
      <c r="P3" s="60" t="s">
        <v>14</v>
      </c>
    </row>
    <row r="4" spans="1:18" x14ac:dyDescent="0.2"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8" x14ac:dyDescent="0.2">
      <c r="B5" s="39" t="s">
        <v>87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8" x14ac:dyDescent="0.2">
      <c r="C6" s="61" t="s">
        <v>19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>
        <f>P6</f>
        <v>191131.5</v>
      </c>
      <c r="O6" s="41"/>
      <c r="P6" s="50">
        <f>'CC7-Budget'!L9</f>
        <v>191131.5</v>
      </c>
    </row>
    <row r="7" spans="1:18" x14ac:dyDescent="0.2">
      <c r="C7" s="61" t="s">
        <v>22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31">
        <f>P7</f>
        <v>102141</v>
      </c>
      <c r="O7" s="41"/>
      <c r="P7" s="50">
        <f>'CC7-Budget'!L10</f>
        <v>102141</v>
      </c>
    </row>
    <row r="8" spans="1:18" x14ac:dyDescent="0.2">
      <c r="C8" s="61" t="s">
        <v>24</v>
      </c>
      <c r="D8" s="41"/>
      <c r="E8" s="41"/>
      <c r="F8" s="41"/>
      <c r="G8" s="41"/>
      <c r="I8" s="41"/>
      <c r="J8" s="14">
        <f>P8*0.3</f>
        <v>18090</v>
      </c>
      <c r="K8" s="41"/>
      <c r="L8" s="41"/>
      <c r="N8" s="41"/>
      <c r="O8" s="14">
        <f>P8*0.7</f>
        <v>42210</v>
      </c>
      <c r="P8" s="50">
        <f>'CC7-Budget'!L11</f>
        <v>60300</v>
      </c>
    </row>
    <row r="9" spans="1:18" x14ac:dyDescent="0.2">
      <c r="C9" s="61" t="s">
        <v>26</v>
      </c>
      <c r="D9" s="41"/>
      <c r="E9" s="41"/>
      <c r="F9" s="41"/>
      <c r="G9" s="41"/>
      <c r="H9" s="41"/>
      <c r="I9" s="41"/>
      <c r="J9" s="41">
        <f>P9</f>
        <v>7920</v>
      </c>
      <c r="K9" s="41"/>
      <c r="L9" s="41"/>
      <c r="M9" s="41"/>
      <c r="O9" s="41"/>
      <c r="P9" s="50">
        <f>'CC7-Budget'!L12</f>
        <v>7920</v>
      </c>
    </row>
    <row r="10" spans="1:18" x14ac:dyDescent="0.2">
      <c r="C10" s="61" t="s">
        <v>28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>
        <f>P10</f>
        <v>8960</v>
      </c>
      <c r="O10" s="41"/>
      <c r="P10" s="50">
        <f>'CC7-Budget'!L13</f>
        <v>8960</v>
      </c>
    </row>
    <row r="11" spans="1:18" x14ac:dyDescent="0.2">
      <c r="C11" s="6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50"/>
    </row>
    <row r="12" spans="1:18" s="18" customFormat="1" x14ac:dyDescent="0.2">
      <c r="A12" s="39"/>
      <c r="B12" s="39" t="s">
        <v>88</v>
      </c>
      <c r="C12" s="62"/>
      <c r="D12" s="50">
        <f>SUM(D6:D10)</f>
        <v>0</v>
      </c>
      <c r="E12" s="50">
        <f t="shared" ref="E12:O12" si="0">SUM(E6:E10)</f>
        <v>0</v>
      </c>
      <c r="F12" s="50">
        <f t="shared" si="0"/>
        <v>0</v>
      </c>
      <c r="G12" s="50">
        <f t="shared" si="0"/>
        <v>0</v>
      </c>
      <c r="H12" s="50">
        <f t="shared" si="0"/>
        <v>0</v>
      </c>
      <c r="I12" s="50">
        <f t="shared" si="0"/>
        <v>0</v>
      </c>
      <c r="J12" s="50">
        <f t="shared" si="0"/>
        <v>26010</v>
      </c>
      <c r="K12" s="50">
        <f t="shared" si="0"/>
        <v>0</v>
      </c>
      <c r="L12" s="50">
        <f t="shared" si="0"/>
        <v>0</v>
      </c>
      <c r="M12" s="50">
        <f t="shared" si="0"/>
        <v>0</v>
      </c>
      <c r="N12" s="50">
        <f t="shared" si="0"/>
        <v>302232.5</v>
      </c>
      <c r="O12" s="50">
        <f t="shared" si="0"/>
        <v>42210</v>
      </c>
      <c r="P12" s="50">
        <f>'CC7-Budget'!L14</f>
        <v>370452.5</v>
      </c>
    </row>
    <row r="13" spans="1:18" x14ac:dyDescent="0.2">
      <c r="B13" s="121"/>
      <c r="C13" s="63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1:18" x14ac:dyDescent="0.2"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1:18" x14ac:dyDescent="0.2">
      <c r="B15" s="39" t="s">
        <v>89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8" x14ac:dyDescent="0.2">
      <c r="C16" s="61" t="str">
        <f>'CC7-Budget'!C17:D17</f>
        <v>Alfalfa Hay</v>
      </c>
      <c r="D16" s="64">
        <f>P16*0.25</f>
        <v>4866.75</v>
      </c>
      <c r="E16" s="64">
        <f>P16*0.25</f>
        <v>4866.75</v>
      </c>
      <c r="F16" s="64">
        <f>P16*0.25</f>
        <v>4866.75</v>
      </c>
      <c r="G16" s="64">
        <f>P16*0.125</f>
        <v>2433.375</v>
      </c>
      <c r="H16" s="64"/>
      <c r="I16" s="64"/>
      <c r="J16" s="64"/>
      <c r="K16" s="64"/>
      <c r="L16" s="64"/>
      <c r="M16" s="64"/>
      <c r="N16" s="64"/>
      <c r="O16" s="64">
        <f>P16*0.125</f>
        <v>2433.375</v>
      </c>
      <c r="P16" s="50">
        <f>'CC7-Budget'!L17</f>
        <v>19467</v>
      </c>
      <c r="R16" s="31"/>
    </row>
    <row r="17" spans="3:18" x14ac:dyDescent="0.2">
      <c r="C17" s="61" t="str">
        <f>'CC7-Budget'!C18:D18</f>
        <v>Meadow Hay</v>
      </c>
      <c r="D17" s="64">
        <f>P17*0.25</f>
        <v>1812.5</v>
      </c>
      <c r="E17" s="64">
        <f>P17*0.25</f>
        <v>1812.5</v>
      </c>
      <c r="F17" s="64">
        <f>P17*0.25</f>
        <v>1812.5</v>
      </c>
      <c r="G17" s="64">
        <f>P17*0.125</f>
        <v>906.25</v>
      </c>
      <c r="H17" s="64"/>
      <c r="I17" s="64"/>
      <c r="J17" s="64"/>
      <c r="K17" s="64"/>
      <c r="L17" s="64"/>
      <c r="M17" s="64"/>
      <c r="N17" s="64"/>
      <c r="O17" s="64">
        <f>P17*0.125</f>
        <v>906.25</v>
      </c>
      <c r="P17" s="50">
        <f>'CC7-Budget'!L18</f>
        <v>7250</v>
      </c>
      <c r="R17" s="31"/>
    </row>
    <row r="18" spans="3:18" x14ac:dyDescent="0.2">
      <c r="C18" s="61" t="str">
        <f>'CC7-Budget'!C19:D19</f>
        <v>Protein Supplement</v>
      </c>
      <c r="D18" s="64">
        <f>P18*0.333333</f>
        <v>6380.6602860000003</v>
      </c>
      <c r="E18" s="64"/>
      <c r="F18" s="64"/>
      <c r="G18" s="64"/>
      <c r="H18" s="64"/>
      <c r="I18" s="64"/>
      <c r="J18" s="64"/>
      <c r="K18" s="64"/>
      <c r="L18" s="64"/>
      <c r="M18" s="64"/>
      <c r="N18" s="64">
        <f>P18*0.333333</f>
        <v>6380.6602860000003</v>
      </c>
      <c r="O18" s="64">
        <f>P18*0.333333</f>
        <v>6380.6602860000003</v>
      </c>
      <c r="P18" s="50">
        <f>'CC7-Budget'!L19</f>
        <v>19142</v>
      </c>
      <c r="R18" s="31"/>
    </row>
    <row r="19" spans="3:18" x14ac:dyDescent="0.2">
      <c r="C19" s="61" t="str">
        <f>'CC7-Budget'!C20:D20</f>
        <v>Federal Range</v>
      </c>
      <c r="D19" s="64"/>
      <c r="E19" s="64"/>
      <c r="F19" s="64">
        <f>P19</f>
        <v>7592.4000000000005</v>
      </c>
      <c r="H19" s="64"/>
      <c r="I19" s="64"/>
      <c r="J19" s="64"/>
      <c r="K19" s="64"/>
      <c r="L19" s="64"/>
      <c r="M19" s="64"/>
      <c r="N19" s="64"/>
      <c r="O19" s="64"/>
      <c r="P19" s="50">
        <f>'CC7-Budget'!L20</f>
        <v>7592.4000000000005</v>
      </c>
      <c r="R19" s="31"/>
    </row>
    <row r="20" spans="3:18" x14ac:dyDescent="0.2">
      <c r="C20" s="61" t="str">
        <f>'CC7-Budget'!C21:D21</f>
        <v>State Range</v>
      </c>
      <c r="D20" s="64"/>
      <c r="E20" s="41"/>
      <c r="F20" s="41">
        <f>P20</f>
        <v>3162.2400000000002</v>
      </c>
      <c r="G20" s="37"/>
      <c r="H20" s="41"/>
      <c r="I20" s="41"/>
      <c r="J20" s="41"/>
      <c r="K20" s="41"/>
      <c r="L20" s="41"/>
      <c r="M20" s="41"/>
      <c r="N20" s="41"/>
      <c r="O20" s="41"/>
      <c r="P20" s="50">
        <f>'CC7-Budget'!L21</f>
        <v>3162.2400000000002</v>
      </c>
      <c r="R20" s="31"/>
    </row>
    <row r="21" spans="3:18" x14ac:dyDescent="0.2">
      <c r="C21" s="61" t="str">
        <f>'CC7-Budget'!C22:D22</f>
        <v>Private Range</v>
      </c>
      <c r="D21" s="64"/>
      <c r="E21" s="41"/>
      <c r="F21" s="41"/>
      <c r="G21" s="37"/>
      <c r="H21" s="41"/>
      <c r="I21" s="41"/>
      <c r="J21" s="41"/>
      <c r="K21" s="41"/>
      <c r="L21" s="41">
        <f>P21*0.5</f>
        <v>10803</v>
      </c>
      <c r="M21" s="41">
        <f>P21*0.5</f>
        <v>10803</v>
      </c>
      <c r="N21" s="41"/>
      <c r="O21" s="41"/>
      <c r="P21" s="50">
        <f>'CC7-Budget'!L22</f>
        <v>21606</v>
      </c>
      <c r="R21" s="31"/>
    </row>
    <row r="22" spans="3:18" x14ac:dyDescent="0.2">
      <c r="C22" s="61" t="str">
        <f>'CC7-Budget'!C23:D23</f>
        <v>Salt/Mineral</v>
      </c>
      <c r="D22" s="64">
        <f>$P$22/12</f>
        <v>114.58333333333333</v>
      </c>
      <c r="E22" s="64">
        <f t="shared" ref="E22:O22" si="1">$P$22/12</f>
        <v>114.58333333333333</v>
      </c>
      <c r="F22" s="64">
        <f t="shared" si="1"/>
        <v>114.58333333333333</v>
      </c>
      <c r="G22" s="64">
        <f t="shared" si="1"/>
        <v>114.58333333333333</v>
      </c>
      <c r="H22" s="64">
        <f t="shared" si="1"/>
        <v>114.58333333333333</v>
      </c>
      <c r="I22" s="64">
        <f t="shared" si="1"/>
        <v>114.58333333333333</v>
      </c>
      <c r="J22" s="64">
        <f t="shared" si="1"/>
        <v>114.58333333333333</v>
      </c>
      <c r="K22" s="64">
        <f t="shared" si="1"/>
        <v>114.58333333333333</v>
      </c>
      <c r="L22" s="64">
        <f t="shared" si="1"/>
        <v>114.58333333333333</v>
      </c>
      <c r="M22" s="64">
        <f t="shared" si="1"/>
        <v>114.58333333333333</v>
      </c>
      <c r="N22" s="64">
        <f t="shared" si="1"/>
        <v>114.58333333333333</v>
      </c>
      <c r="O22" s="64">
        <f t="shared" si="1"/>
        <v>114.58333333333333</v>
      </c>
      <c r="P22" s="50">
        <f>'CC7-Budget'!L23</f>
        <v>1375</v>
      </c>
      <c r="R22" s="31"/>
    </row>
    <row r="23" spans="3:18" x14ac:dyDescent="0.2">
      <c r="C23" s="61" t="str">
        <f>'CC7-Budget'!C24:D24</f>
        <v>Veterinary/Medicine</v>
      </c>
      <c r="D23" s="64"/>
      <c r="E23" s="64"/>
      <c r="F23" s="64">
        <f>0.25*P23</f>
        <v>3522.4463365885417</v>
      </c>
      <c r="H23" s="64"/>
      <c r="I23" s="64"/>
      <c r="K23" s="64"/>
      <c r="L23" s="64"/>
      <c r="M23" s="64"/>
      <c r="N23" s="64">
        <f>0.75*P23</f>
        <v>10567.339009765625</v>
      </c>
      <c r="P23" s="50">
        <f>'CC7-Budget'!L24</f>
        <v>14089.785346354167</v>
      </c>
      <c r="R23" s="31"/>
    </row>
    <row r="24" spans="3:18" x14ac:dyDescent="0.2">
      <c r="C24" s="61" t="str">
        <f>'CC7-Budget'!C25:D25</f>
        <v>Freight/Trucking to Market</v>
      </c>
      <c r="D24" s="64"/>
      <c r="E24" s="64">
        <f>0.1*P24</f>
        <v>88</v>
      </c>
      <c r="F24" s="64"/>
      <c r="G24" s="64"/>
      <c r="H24" s="64"/>
      <c r="I24" s="64"/>
      <c r="J24" s="64"/>
      <c r="K24" s="64">
        <f>0.6*P24</f>
        <v>528</v>
      </c>
      <c r="L24" s="64"/>
      <c r="M24" s="64"/>
      <c r="N24" s="64">
        <f>0.3*P24</f>
        <v>264</v>
      </c>
      <c r="O24" s="64"/>
      <c r="P24" s="50">
        <f>'CC7-Budget'!L25</f>
        <v>880</v>
      </c>
      <c r="R24" s="31"/>
    </row>
    <row r="25" spans="3:18" x14ac:dyDescent="0.2">
      <c r="C25" s="61" t="str">
        <f>'CC7-Budget'!C26:D26</f>
        <v>Freight/Trucking to &amp; from Pasture</v>
      </c>
      <c r="D25" s="64"/>
      <c r="E25" s="64"/>
      <c r="F25" s="64">
        <f>0.5*P25</f>
        <v>2625</v>
      </c>
      <c r="H25" s="64"/>
      <c r="I25" s="64"/>
      <c r="J25" s="64"/>
      <c r="K25" s="64"/>
      <c r="L25" s="64"/>
      <c r="N25" s="64">
        <f>0.5*P25</f>
        <v>2625</v>
      </c>
      <c r="O25" s="64"/>
      <c r="P25" s="50">
        <f>'CC7-Budget'!L26</f>
        <v>5250</v>
      </c>
      <c r="R25" s="31"/>
    </row>
    <row r="26" spans="3:18" x14ac:dyDescent="0.2">
      <c r="C26" s="61" t="str">
        <f>'CC7-Budget'!C27:D27</f>
        <v>Hired Labor</v>
      </c>
      <c r="D26" s="64">
        <f>0.05*P26</f>
        <v>436.56000000000006</v>
      </c>
      <c r="E26" s="64">
        <f>0.1*P26</f>
        <v>873.12000000000012</v>
      </c>
      <c r="F26" s="64">
        <f>0.2*P26</f>
        <v>1746.2400000000002</v>
      </c>
      <c r="G26" s="64">
        <f>0.2*P26</f>
        <v>1746.2400000000002</v>
      </c>
      <c r="H26" s="64">
        <f>0.1*P26</f>
        <v>873.12000000000012</v>
      </c>
      <c r="I26" s="64">
        <f>0.05*$P$26</f>
        <v>436.56000000000006</v>
      </c>
      <c r="J26" s="64">
        <f t="shared" ref="J26:O26" si="2">0.05*$P$26</f>
        <v>436.56000000000006</v>
      </c>
      <c r="K26" s="64">
        <f t="shared" si="2"/>
        <v>436.56000000000006</v>
      </c>
      <c r="L26" s="64">
        <f t="shared" si="2"/>
        <v>436.56000000000006</v>
      </c>
      <c r="M26" s="64">
        <f t="shared" si="2"/>
        <v>436.56000000000006</v>
      </c>
      <c r="N26" s="64">
        <f t="shared" si="2"/>
        <v>436.56000000000006</v>
      </c>
      <c r="O26" s="64">
        <f t="shared" si="2"/>
        <v>436.56000000000006</v>
      </c>
      <c r="P26" s="50">
        <f>'CC7-Budget'!L27</f>
        <v>8731.2000000000007</v>
      </c>
      <c r="R26" s="31"/>
    </row>
    <row r="27" spans="3:18" x14ac:dyDescent="0.2">
      <c r="C27" s="61" t="str">
        <f>'CC7-Budget'!C28:D28</f>
        <v>Owner Labor</v>
      </c>
      <c r="D27" s="64">
        <f>$P$27/12</f>
        <v>5446</v>
      </c>
      <c r="E27" s="64">
        <f t="shared" ref="E27:O27" si="3">$P$27/12</f>
        <v>5446</v>
      </c>
      <c r="F27" s="64">
        <f t="shared" si="3"/>
        <v>5446</v>
      </c>
      <c r="G27" s="64">
        <f t="shared" si="3"/>
        <v>5446</v>
      </c>
      <c r="H27" s="64">
        <f t="shared" si="3"/>
        <v>5446</v>
      </c>
      <c r="I27" s="64">
        <f t="shared" si="3"/>
        <v>5446</v>
      </c>
      <c r="J27" s="64">
        <f t="shared" si="3"/>
        <v>5446</v>
      </c>
      <c r="K27" s="64">
        <f t="shared" si="3"/>
        <v>5446</v>
      </c>
      <c r="L27" s="64">
        <f t="shared" si="3"/>
        <v>5446</v>
      </c>
      <c r="M27" s="64">
        <f t="shared" si="3"/>
        <v>5446</v>
      </c>
      <c r="N27" s="64">
        <f t="shared" si="3"/>
        <v>5446</v>
      </c>
      <c r="O27" s="64">
        <f t="shared" si="3"/>
        <v>5446</v>
      </c>
      <c r="P27" s="50">
        <f>'CC7-Budget'!L28</f>
        <v>65352</v>
      </c>
      <c r="R27" s="31"/>
    </row>
    <row r="28" spans="3:18" x14ac:dyDescent="0.2">
      <c r="C28" s="61" t="str">
        <f>'CC7-Budget'!C29:D29</f>
        <v>Commission</v>
      </c>
      <c r="D28" s="64"/>
      <c r="E28" s="64">
        <f>0.02*P28</f>
        <v>38.590000000000003</v>
      </c>
      <c r="F28" s="64"/>
      <c r="G28" s="64"/>
      <c r="H28" s="64"/>
      <c r="I28" s="64"/>
      <c r="J28" s="64"/>
      <c r="K28" s="64">
        <f>0.13*P28</f>
        <v>250.83500000000001</v>
      </c>
      <c r="L28" s="64"/>
      <c r="M28" s="64"/>
      <c r="N28" s="64">
        <f>0.85*P28</f>
        <v>1640.075</v>
      </c>
      <c r="O28" s="64"/>
      <c r="P28" s="50">
        <f>'CC7-Budget'!L29</f>
        <v>1929.5</v>
      </c>
      <c r="R28" s="31"/>
    </row>
    <row r="29" spans="3:18" x14ac:dyDescent="0.2">
      <c r="C29" s="61" t="str">
        <f>'CC7-Budget'!C30:D30</f>
        <v>Checkoff/Brand Inspection</v>
      </c>
      <c r="D29" s="64"/>
      <c r="E29" s="64">
        <f>0.02*P29</f>
        <v>25.811199999999999</v>
      </c>
      <c r="F29" s="64"/>
      <c r="G29" s="64"/>
      <c r="H29" s="64"/>
      <c r="I29" s="64"/>
      <c r="J29" s="64"/>
      <c r="K29" s="64">
        <f>0.13*P29</f>
        <v>167.77279999999999</v>
      </c>
      <c r="L29" s="64"/>
      <c r="M29" s="64"/>
      <c r="N29" s="64">
        <f>0.85*P29</f>
        <v>1096.9759999999999</v>
      </c>
      <c r="O29" s="64"/>
      <c r="P29" s="50">
        <f>'CC7-Budget'!L30</f>
        <v>1290.56</v>
      </c>
      <c r="R29" s="31"/>
    </row>
    <row r="30" spans="3:18" x14ac:dyDescent="0.2">
      <c r="C30" s="61" t="str">
        <f>'CC7-Budget'!C31:D31</f>
        <v>Machinery (Fuel, Oil, Repair)</v>
      </c>
      <c r="D30" s="64">
        <f>$P$30/12</f>
        <v>607.28250000000003</v>
      </c>
      <c r="E30" s="64">
        <f t="shared" ref="E30:O30" si="4">$P$30/12</f>
        <v>607.28250000000003</v>
      </c>
      <c r="F30" s="64">
        <f t="shared" si="4"/>
        <v>607.28250000000003</v>
      </c>
      <c r="G30" s="64">
        <f t="shared" si="4"/>
        <v>607.28250000000003</v>
      </c>
      <c r="H30" s="64">
        <f t="shared" si="4"/>
        <v>607.28250000000003</v>
      </c>
      <c r="I30" s="64">
        <f t="shared" si="4"/>
        <v>607.28250000000003</v>
      </c>
      <c r="J30" s="64">
        <f t="shared" si="4"/>
        <v>607.28250000000003</v>
      </c>
      <c r="K30" s="64">
        <f t="shared" si="4"/>
        <v>607.28250000000003</v>
      </c>
      <c r="L30" s="64">
        <f t="shared" si="4"/>
        <v>607.28250000000003</v>
      </c>
      <c r="M30" s="64">
        <f t="shared" si="4"/>
        <v>607.28250000000003</v>
      </c>
      <c r="N30" s="64">
        <f t="shared" si="4"/>
        <v>607.28250000000003</v>
      </c>
      <c r="O30" s="64">
        <f t="shared" si="4"/>
        <v>607.28250000000003</v>
      </c>
      <c r="P30" s="50">
        <f>'CC7-Budget'!L31</f>
        <v>7287.39</v>
      </c>
      <c r="R30" s="31"/>
    </row>
    <row r="31" spans="3:18" x14ac:dyDescent="0.2">
      <c r="C31" s="61" t="str">
        <f>'CC7-Budget'!C32:D32</f>
        <v>Vehicles (Fuel, Repair)</v>
      </c>
      <c r="D31" s="64">
        <f>$P$31/12</f>
        <v>1217.4549999999999</v>
      </c>
      <c r="E31" s="64">
        <f t="shared" ref="E31:O31" si="5">$P$31/12</f>
        <v>1217.4549999999999</v>
      </c>
      <c r="F31" s="64">
        <f t="shared" si="5"/>
        <v>1217.4549999999999</v>
      </c>
      <c r="G31" s="64">
        <f t="shared" si="5"/>
        <v>1217.4549999999999</v>
      </c>
      <c r="H31" s="64">
        <f t="shared" si="5"/>
        <v>1217.4549999999999</v>
      </c>
      <c r="I31" s="64">
        <f t="shared" si="5"/>
        <v>1217.4549999999999</v>
      </c>
      <c r="J31" s="64">
        <f t="shared" si="5"/>
        <v>1217.4549999999999</v>
      </c>
      <c r="K31" s="64">
        <f t="shared" si="5"/>
        <v>1217.4549999999999</v>
      </c>
      <c r="L31" s="64">
        <f t="shared" si="5"/>
        <v>1217.4549999999999</v>
      </c>
      <c r="M31" s="64">
        <f t="shared" si="5"/>
        <v>1217.4549999999999</v>
      </c>
      <c r="N31" s="64">
        <f t="shared" si="5"/>
        <v>1217.4549999999999</v>
      </c>
      <c r="O31" s="64">
        <f t="shared" si="5"/>
        <v>1217.4549999999999</v>
      </c>
      <c r="P31" s="50">
        <f>'CC7-Budget'!L32</f>
        <v>14609.46</v>
      </c>
      <c r="R31" s="31"/>
    </row>
    <row r="32" spans="3:18" x14ac:dyDescent="0.2">
      <c r="C32" s="61" t="str">
        <f>'CC7-Budget'!C33:D33</f>
        <v>Equipment (Repair)</v>
      </c>
      <c r="D32" s="64">
        <f>$P$32/12</f>
        <v>186.14750000000001</v>
      </c>
      <c r="E32" s="64">
        <f t="shared" ref="E32:O32" si="6">$P$32/12</f>
        <v>186.14750000000001</v>
      </c>
      <c r="F32" s="64">
        <f t="shared" si="6"/>
        <v>186.14750000000001</v>
      </c>
      <c r="G32" s="64">
        <f t="shared" si="6"/>
        <v>186.14750000000001</v>
      </c>
      <c r="H32" s="64">
        <f t="shared" si="6"/>
        <v>186.14750000000001</v>
      </c>
      <c r="I32" s="64">
        <f t="shared" si="6"/>
        <v>186.14750000000001</v>
      </c>
      <c r="J32" s="64">
        <f t="shared" si="6"/>
        <v>186.14750000000001</v>
      </c>
      <c r="K32" s="64">
        <f t="shared" si="6"/>
        <v>186.14750000000001</v>
      </c>
      <c r="L32" s="64">
        <f t="shared" si="6"/>
        <v>186.14750000000001</v>
      </c>
      <c r="M32" s="64">
        <f t="shared" si="6"/>
        <v>186.14750000000001</v>
      </c>
      <c r="N32" s="64">
        <f t="shared" si="6"/>
        <v>186.14750000000001</v>
      </c>
      <c r="O32" s="64">
        <f t="shared" si="6"/>
        <v>186.14750000000001</v>
      </c>
      <c r="P32" s="50">
        <f>'CC7-Budget'!L33</f>
        <v>2233.77</v>
      </c>
      <c r="R32" s="31"/>
    </row>
    <row r="33" spans="1:19" x14ac:dyDescent="0.2">
      <c r="C33" s="61" t="str">
        <f>'CC7-Budget'!C34:D34</f>
        <v>Buildings &amp; Improvements (Repair)</v>
      </c>
      <c r="D33" s="64">
        <f>$P$33/12</f>
        <v>283.65333333333336</v>
      </c>
      <c r="E33" s="64">
        <f t="shared" ref="E33:O33" si="7">$P$33/12</f>
        <v>283.65333333333336</v>
      </c>
      <c r="F33" s="64">
        <f t="shared" si="7"/>
        <v>283.65333333333336</v>
      </c>
      <c r="G33" s="64">
        <f t="shared" si="7"/>
        <v>283.65333333333336</v>
      </c>
      <c r="H33" s="64">
        <f t="shared" si="7"/>
        <v>283.65333333333336</v>
      </c>
      <c r="I33" s="64">
        <f t="shared" si="7"/>
        <v>283.65333333333336</v>
      </c>
      <c r="J33" s="64">
        <f t="shared" si="7"/>
        <v>283.65333333333336</v>
      </c>
      <c r="K33" s="64">
        <f t="shared" si="7"/>
        <v>283.65333333333336</v>
      </c>
      <c r="L33" s="64">
        <f t="shared" si="7"/>
        <v>283.65333333333336</v>
      </c>
      <c r="M33" s="64">
        <f t="shared" si="7"/>
        <v>283.65333333333336</v>
      </c>
      <c r="N33" s="64">
        <f t="shared" si="7"/>
        <v>283.65333333333336</v>
      </c>
      <c r="O33" s="64">
        <f t="shared" si="7"/>
        <v>283.65333333333336</v>
      </c>
      <c r="P33" s="50">
        <f>'CC7-Budget'!L34</f>
        <v>3403.84</v>
      </c>
      <c r="R33" s="31"/>
    </row>
    <row r="34" spans="1:19" x14ac:dyDescent="0.2">
      <c r="C34" s="61" t="str">
        <f>'CC7-Budget'!C35:D35</f>
        <v>Interest on Operating Capital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>
        <f>P34</f>
        <v>2558.1518168294269</v>
      </c>
      <c r="P34" s="50">
        <f>'CC7-Budget'!L35</f>
        <v>2558.1518168294269</v>
      </c>
      <c r="R34" s="31"/>
    </row>
    <row r="35" spans="1:19" x14ac:dyDescent="0.2">
      <c r="C35" s="37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50"/>
      <c r="R35" s="31"/>
    </row>
    <row r="36" spans="1:19" s="18" customFormat="1" x14ac:dyDescent="0.2">
      <c r="A36" s="39"/>
      <c r="B36" s="39" t="s">
        <v>90</v>
      </c>
      <c r="C36" s="39"/>
      <c r="D36" s="50">
        <f t="shared" ref="D36:P36" si="8">SUM(D16:D34)</f>
        <v>21351.591952666666</v>
      </c>
      <c r="E36" s="50">
        <f t="shared" si="8"/>
        <v>15559.892866666665</v>
      </c>
      <c r="F36" s="50">
        <f t="shared" si="8"/>
        <v>33182.698003255216</v>
      </c>
      <c r="G36" s="50">
        <f t="shared" si="8"/>
        <v>12940.986666666666</v>
      </c>
      <c r="H36" s="50">
        <f t="shared" si="8"/>
        <v>8728.2416666666668</v>
      </c>
      <c r="I36" s="50">
        <f t="shared" si="8"/>
        <v>8291.6816666666673</v>
      </c>
      <c r="J36" s="50">
        <f t="shared" si="8"/>
        <v>8291.6816666666673</v>
      </c>
      <c r="K36" s="50">
        <f t="shared" si="8"/>
        <v>9238.2894666666671</v>
      </c>
      <c r="L36" s="50">
        <f t="shared" si="8"/>
        <v>19094.681666666667</v>
      </c>
      <c r="M36" s="50">
        <f t="shared" si="8"/>
        <v>19094.681666666667</v>
      </c>
      <c r="N36" s="50">
        <f t="shared" si="8"/>
        <v>30865.731962432288</v>
      </c>
      <c r="O36" s="50">
        <f t="shared" si="8"/>
        <v>20570.118769496094</v>
      </c>
      <c r="P36" s="50">
        <f t="shared" si="8"/>
        <v>207210.29716318357</v>
      </c>
      <c r="R36" s="31"/>
    </row>
    <row r="37" spans="1:19" x14ac:dyDescent="0.2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1:19" x14ac:dyDescent="0.2"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9" s="18" customFormat="1" x14ac:dyDescent="0.2">
      <c r="A39" s="39"/>
      <c r="B39" s="39" t="s">
        <v>91</v>
      </c>
      <c r="C39" s="39"/>
      <c r="D39" s="50">
        <f t="shared" ref="D39:P39" si="9">D12-D36</f>
        <v>-21351.591952666666</v>
      </c>
      <c r="E39" s="50">
        <f t="shared" si="9"/>
        <v>-15559.892866666665</v>
      </c>
      <c r="F39" s="50">
        <f t="shared" si="9"/>
        <v>-33182.698003255216</v>
      </c>
      <c r="G39" s="50">
        <f t="shared" si="9"/>
        <v>-12940.986666666666</v>
      </c>
      <c r="H39" s="50">
        <f t="shared" si="9"/>
        <v>-8728.2416666666668</v>
      </c>
      <c r="I39" s="50">
        <f t="shared" si="9"/>
        <v>-8291.6816666666673</v>
      </c>
      <c r="J39" s="50">
        <f t="shared" si="9"/>
        <v>17718.318333333333</v>
      </c>
      <c r="K39" s="50">
        <f t="shared" si="9"/>
        <v>-9238.2894666666671</v>
      </c>
      <c r="L39" s="50">
        <f t="shared" si="9"/>
        <v>-19094.681666666667</v>
      </c>
      <c r="M39" s="50">
        <f t="shared" si="9"/>
        <v>-19094.681666666667</v>
      </c>
      <c r="N39" s="50">
        <f t="shared" si="9"/>
        <v>271366.76803756773</v>
      </c>
      <c r="O39" s="50">
        <f t="shared" si="9"/>
        <v>21639.881230503906</v>
      </c>
      <c r="P39" s="50">
        <f t="shared" si="9"/>
        <v>163242.20283681643</v>
      </c>
    </row>
    <row r="40" spans="1:19" x14ac:dyDescent="0.2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1:19" x14ac:dyDescent="0.2"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</row>
    <row r="42" spans="1:19" x14ac:dyDescent="0.2"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</row>
    <row r="43" spans="1:19" s="17" customFormat="1" ht="30" customHeight="1" x14ac:dyDescent="0.2">
      <c r="A43" s="130"/>
      <c r="B43" s="66" t="s">
        <v>92</v>
      </c>
      <c r="C43" s="66"/>
      <c r="D43" s="66"/>
      <c r="E43" s="66"/>
      <c r="F43" s="66"/>
      <c r="G43" s="66"/>
      <c r="H43" s="66"/>
      <c r="I43" s="66"/>
      <c r="J43" s="66"/>
      <c r="K43" s="66"/>
      <c r="L43" s="58"/>
      <c r="M43" s="59"/>
      <c r="N43" s="59"/>
      <c r="O43" s="59"/>
      <c r="P43" s="118"/>
    </row>
    <row r="44" spans="1:19" s="19" customFormat="1" ht="30" customHeight="1" thickBot="1" x14ac:dyDescent="0.25">
      <c r="A44" s="131"/>
      <c r="B44" s="119" t="s">
        <v>93</v>
      </c>
      <c r="C44" s="67"/>
      <c r="D44" s="60" t="s">
        <v>94</v>
      </c>
      <c r="E44" s="60" t="s">
        <v>75</v>
      </c>
      <c r="F44" s="60" t="s">
        <v>76</v>
      </c>
      <c r="G44" s="60" t="s">
        <v>77</v>
      </c>
      <c r="H44" s="60" t="s">
        <v>78</v>
      </c>
      <c r="I44" s="60" t="s">
        <v>79</v>
      </c>
      <c r="J44" s="60" t="s">
        <v>80</v>
      </c>
      <c r="K44" s="60" t="s">
        <v>81</v>
      </c>
      <c r="L44" s="60" t="s">
        <v>82</v>
      </c>
      <c r="M44" s="60" t="s">
        <v>83</v>
      </c>
      <c r="N44" s="60" t="s">
        <v>84</v>
      </c>
      <c r="O44" s="60" t="s">
        <v>85</v>
      </c>
      <c r="P44" s="60" t="s">
        <v>86</v>
      </c>
    </row>
    <row r="45" spans="1:19" x14ac:dyDescent="0.2"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19" x14ac:dyDescent="0.2">
      <c r="B46" s="61" t="s">
        <v>34</v>
      </c>
      <c r="C46" s="37"/>
      <c r="D46" s="38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R46" s="31"/>
    </row>
    <row r="47" spans="1:19" x14ac:dyDescent="0.2">
      <c r="C47" s="61" t="s">
        <v>95</v>
      </c>
      <c r="D47" s="38" t="s">
        <v>35</v>
      </c>
      <c r="E47" s="41">
        <v>36</v>
      </c>
      <c r="F47" s="41">
        <v>36</v>
      </c>
      <c r="G47" s="41"/>
      <c r="H47" s="41"/>
      <c r="I47" s="41"/>
      <c r="J47" s="41"/>
      <c r="K47" s="41"/>
      <c r="L47" s="41"/>
      <c r="M47" s="41"/>
      <c r="N47" s="41"/>
      <c r="O47" s="41"/>
      <c r="P47" s="41">
        <v>36</v>
      </c>
      <c r="R47" s="31"/>
      <c r="S47" s="31"/>
    </row>
    <row r="48" spans="1:19" x14ac:dyDescent="0.2">
      <c r="B48" s="37" t="s">
        <v>36</v>
      </c>
      <c r="C48" s="61"/>
      <c r="D48" s="38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R48" s="31"/>
      <c r="S48" s="31"/>
    </row>
    <row r="49" spans="2:19" x14ac:dyDescent="0.2">
      <c r="C49" s="37" t="s">
        <v>23</v>
      </c>
      <c r="D49" s="38" t="s">
        <v>35</v>
      </c>
      <c r="E49" s="41">
        <v>9</v>
      </c>
      <c r="F49" s="41">
        <v>8</v>
      </c>
      <c r="G49" s="41">
        <v>9</v>
      </c>
      <c r="H49" s="41"/>
      <c r="I49" s="41"/>
      <c r="J49" s="41"/>
      <c r="K49" s="41"/>
      <c r="L49" s="41"/>
      <c r="M49" s="41"/>
      <c r="N49" s="41"/>
      <c r="O49" s="41"/>
      <c r="P49" s="41"/>
      <c r="R49" s="31"/>
      <c r="S49" s="31"/>
    </row>
    <row r="50" spans="2:19" x14ac:dyDescent="0.2">
      <c r="C50" s="37" t="s">
        <v>25</v>
      </c>
      <c r="D50" s="38" t="s">
        <v>35</v>
      </c>
      <c r="E50" s="41">
        <v>4</v>
      </c>
      <c r="F50" s="41">
        <v>4</v>
      </c>
      <c r="G50" s="41">
        <v>4</v>
      </c>
      <c r="H50" s="41">
        <v>4</v>
      </c>
      <c r="I50" s="41"/>
      <c r="J50" s="41"/>
      <c r="K50" s="41"/>
      <c r="L50" s="41"/>
      <c r="M50" s="41"/>
      <c r="N50" s="41"/>
      <c r="O50" s="41">
        <v>4</v>
      </c>
      <c r="P50" s="41">
        <v>4</v>
      </c>
      <c r="R50" s="31"/>
    </row>
    <row r="51" spans="2:19" x14ac:dyDescent="0.2">
      <c r="B51" s="37" t="s">
        <v>39</v>
      </c>
      <c r="C51" s="128"/>
      <c r="D51" s="129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R51" s="31"/>
    </row>
    <row r="52" spans="2:19" x14ac:dyDescent="0.2">
      <c r="C52" s="132" t="s">
        <v>21</v>
      </c>
      <c r="D52" s="133" t="s">
        <v>40</v>
      </c>
      <c r="E52" s="41">
        <v>470</v>
      </c>
      <c r="F52" s="41">
        <v>470</v>
      </c>
      <c r="G52" s="41">
        <v>470</v>
      </c>
      <c r="H52" s="41">
        <v>470</v>
      </c>
      <c r="I52" s="41">
        <v>470</v>
      </c>
      <c r="J52" s="41">
        <v>470</v>
      </c>
      <c r="K52" s="41">
        <v>470</v>
      </c>
      <c r="L52" s="41">
        <v>470</v>
      </c>
      <c r="M52" s="41"/>
      <c r="N52" s="41"/>
      <c r="O52" s="41">
        <v>470</v>
      </c>
      <c r="P52" s="41">
        <v>470</v>
      </c>
      <c r="R52" s="31"/>
      <c r="S52" s="31"/>
    </row>
    <row r="53" spans="2:19" x14ac:dyDescent="0.2">
      <c r="C53" s="132" t="s">
        <v>95</v>
      </c>
      <c r="D53" s="133" t="s">
        <v>40</v>
      </c>
      <c r="E53" s="41"/>
      <c r="F53" s="41"/>
      <c r="G53" s="37">
        <v>76</v>
      </c>
      <c r="H53" s="37">
        <v>76</v>
      </c>
      <c r="I53" s="37">
        <v>76</v>
      </c>
      <c r="J53" s="37">
        <v>76</v>
      </c>
      <c r="K53" s="37">
        <v>76</v>
      </c>
      <c r="L53" s="37">
        <v>76</v>
      </c>
      <c r="M53" s="37">
        <v>76</v>
      </c>
      <c r="N53" s="14">
        <v>76</v>
      </c>
      <c r="O53" s="41">
        <v>76</v>
      </c>
      <c r="P53" s="41"/>
      <c r="R53" s="31"/>
    </row>
    <row r="54" spans="2:19" x14ac:dyDescent="0.2">
      <c r="C54" s="132" t="s">
        <v>23</v>
      </c>
      <c r="D54" s="133" t="s">
        <v>40</v>
      </c>
      <c r="E54" s="41"/>
      <c r="F54" s="41"/>
      <c r="G54" s="41">
        <v>30</v>
      </c>
      <c r="H54" s="41">
        <v>30</v>
      </c>
      <c r="I54" s="41">
        <v>30</v>
      </c>
      <c r="J54" s="41">
        <v>30</v>
      </c>
      <c r="K54" s="41">
        <v>30</v>
      </c>
      <c r="L54" s="41">
        <v>30</v>
      </c>
      <c r="M54" s="41">
        <v>30</v>
      </c>
      <c r="N54" s="41">
        <v>30</v>
      </c>
      <c r="O54" s="41"/>
      <c r="P54" s="41"/>
      <c r="R54" s="31"/>
      <c r="S54" s="31"/>
    </row>
    <row r="55" spans="2:19" x14ac:dyDescent="0.2">
      <c r="B55" s="37" t="s">
        <v>41</v>
      </c>
      <c r="C55" s="132"/>
      <c r="D55" s="133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R55" s="31"/>
    </row>
    <row r="56" spans="2:19" x14ac:dyDescent="0.2">
      <c r="C56" s="37" t="s">
        <v>21</v>
      </c>
      <c r="D56" s="133" t="s">
        <v>40</v>
      </c>
      <c r="E56" s="41">
        <v>30</v>
      </c>
      <c r="F56" s="41">
        <v>30</v>
      </c>
      <c r="G56" s="41">
        <v>30</v>
      </c>
      <c r="H56" s="41">
        <v>30</v>
      </c>
      <c r="I56" s="41">
        <v>30</v>
      </c>
      <c r="J56" s="41">
        <v>30</v>
      </c>
      <c r="K56" s="41">
        <v>30</v>
      </c>
      <c r="L56" s="41">
        <v>30</v>
      </c>
      <c r="M56" s="41">
        <v>30</v>
      </c>
      <c r="N56" s="41">
        <v>30</v>
      </c>
      <c r="O56" s="41"/>
      <c r="P56" s="41"/>
      <c r="R56" s="31"/>
      <c r="S56" s="31"/>
    </row>
    <row r="57" spans="2:19" x14ac:dyDescent="0.2">
      <c r="C57" s="37" t="s">
        <v>95</v>
      </c>
      <c r="D57" s="133" t="s">
        <v>40</v>
      </c>
      <c r="E57" s="41"/>
      <c r="F57" s="41"/>
      <c r="G57" s="41">
        <v>15</v>
      </c>
      <c r="H57" s="41">
        <v>15</v>
      </c>
      <c r="I57" s="41">
        <v>15</v>
      </c>
      <c r="J57" s="41">
        <v>15</v>
      </c>
      <c r="K57" s="41">
        <v>15</v>
      </c>
      <c r="L57" s="41">
        <v>15</v>
      </c>
      <c r="M57" s="41">
        <v>15</v>
      </c>
      <c r="N57" s="41">
        <v>15</v>
      </c>
      <c r="O57" s="41"/>
      <c r="P57" s="41"/>
      <c r="R57" s="31"/>
    </row>
    <row r="58" spans="2:19" x14ac:dyDescent="0.2">
      <c r="C58" s="37" t="s">
        <v>23</v>
      </c>
      <c r="D58" s="133" t="s">
        <v>40</v>
      </c>
      <c r="E58" s="41"/>
      <c r="F58" s="41"/>
      <c r="G58" s="41"/>
      <c r="H58" s="37"/>
      <c r="I58" s="37"/>
      <c r="J58" s="37"/>
      <c r="K58" s="37"/>
      <c r="L58" s="37"/>
      <c r="M58" s="41">
        <v>6</v>
      </c>
      <c r="N58" s="41">
        <v>6</v>
      </c>
      <c r="O58" s="41"/>
      <c r="P58" s="41"/>
      <c r="R58" s="31"/>
    </row>
    <row r="59" spans="2:19" x14ac:dyDescent="0.2">
      <c r="B59" s="37" t="s">
        <v>42</v>
      </c>
      <c r="C59" s="132"/>
      <c r="D59" s="133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R59" s="31"/>
    </row>
    <row r="60" spans="2:19" x14ac:dyDescent="0.2">
      <c r="C60" s="37" t="s">
        <v>21</v>
      </c>
      <c r="D60" s="133" t="s">
        <v>40</v>
      </c>
      <c r="E60" s="41"/>
      <c r="F60" s="41"/>
      <c r="G60" s="41"/>
      <c r="H60" s="37"/>
      <c r="I60" s="37"/>
      <c r="J60" s="37"/>
      <c r="K60" s="37"/>
      <c r="L60" s="37"/>
      <c r="M60" s="41">
        <v>500</v>
      </c>
      <c r="N60" s="41">
        <v>500</v>
      </c>
      <c r="O60" s="41"/>
      <c r="P60" s="41"/>
      <c r="R60" s="31"/>
      <c r="S60" s="31"/>
    </row>
    <row r="61" spans="2:19" x14ac:dyDescent="0.2">
      <c r="C61" s="37" t="s">
        <v>23</v>
      </c>
      <c r="D61" s="133" t="s">
        <v>40</v>
      </c>
      <c r="E61" s="41"/>
      <c r="F61" s="41"/>
      <c r="G61" s="41"/>
      <c r="H61" s="37"/>
      <c r="I61" s="37"/>
      <c r="J61" s="37"/>
      <c r="K61" s="37"/>
      <c r="L61" s="37"/>
      <c r="M61" s="41">
        <v>24</v>
      </c>
      <c r="N61" s="41">
        <v>24</v>
      </c>
      <c r="O61" s="41"/>
      <c r="P61" s="41"/>
      <c r="R61" s="31"/>
    </row>
    <row r="62" spans="2:19" x14ac:dyDescent="0.2">
      <c r="C62" s="37" t="s">
        <v>25</v>
      </c>
      <c r="D62" s="133" t="s">
        <v>40</v>
      </c>
      <c r="E62" s="41"/>
      <c r="F62" s="41"/>
      <c r="G62" s="41"/>
      <c r="H62" s="37"/>
      <c r="I62" s="37">
        <v>10</v>
      </c>
      <c r="J62" s="37">
        <v>10</v>
      </c>
      <c r="K62" s="37">
        <v>10</v>
      </c>
      <c r="L62" s="37">
        <v>10</v>
      </c>
      <c r="M62" s="41">
        <v>10</v>
      </c>
      <c r="N62" s="41">
        <v>10</v>
      </c>
      <c r="O62" s="41"/>
      <c r="P62" s="41"/>
      <c r="R62" s="31"/>
    </row>
    <row r="63" spans="2:19" x14ac:dyDescent="0.2">
      <c r="B63" s="37" t="s">
        <v>37</v>
      </c>
      <c r="C63" s="37"/>
      <c r="D63" s="38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R63" s="31"/>
    </row>
    <row r="64" spans="2:19" x14ac:dyDescent="0.2">
      <c r="C64" s="37" t="s">
        <v>96</v>
      </c>
      <c r="D64" s="38" t="s">
        <v>38</v>
      </c>
      <c r="E64" s="41">
        <v>96</v>
      </c>
      <c r="F64" s="41">
        <v>96</v>
      </c>
      <c r="G64" s="41">
        <v>96</v>
      </c>
      <c r="H64" s="41">
        <v>93</v>
      </c>
      <c r="I64" s="41"/>
      <c r="J64" s="41"/>
      <c r="K64" s="41"/>
      <c r="L64" s="41"/>
      <c r="M64" s="41"/>
      <c r="N64" s="41"/>
      <c r="O64" s="41">
        <v>96</v>
      </c>
      <c r="P64" s="41">
        <v>96</v>
      </c>
      <c r="R64" s="31"/>
      <c r="S64" s="31"/>
    </row>
    <row r="65" spans="2:18" x14ac:dyDescent="0.2">
      <c r="B65" s="37" t="s">
        <v>43</v>
      </c>
      <c r="C65" s="37"/>
      <c r="D65" s="38" t="s">
        <v>38</v>
      </c>
      <c r="E65" s="41">
        <v>10</v>
      </c>
      <c r="F65" s="41">
        <v>10</v>
      </c>
      <c r="G65" s="41">
        <v>10</v>
      </c>
      <c r="H65" s="41">
        <v>10</v>
      </c>
      <c r="I65" s="41">
        <v>10</v>
      </c>
      <c r="J65" s="41">
        <v>10</v>
      </c>
      <c r="K65" s="41">
        <v>10</v>
      </c>
      <c r="L65" s="41">
        <v>10</v>
      </c>
      <c r="M65" s="41">
        <v>10</v>
      </c>
      <c r="N65" s="41">
        <v>10</v>
      </c>
      <c r="O65" s="41">
        <v>10</v>
      </c>
      <c r="P65" s="41">
        <v>10</v>
      </c>
      <c r="R65" s="31"/>
    </row>
    <row r="66" spans="2:18" x14ac:dyDescent="0.2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8" x14ac:dyDescent="0.2"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</row>
    <row r="68" spans="2:18" x14ac:dyDescent="0.2">
      <c r="C68" s="65"/>
      <c r="D68" s="65"/>
      <c r="E68" s="65"/>
      <c r="F68" s="65"/>
      <c r="G68" s="37"/>
      <c r="H68" s="37"/>
      <c r="I68" s="37"/>
      <c r="J68" s="37"/>
      <c r="K68" s="37"/>
      <c r="L68" s="37"/>
      <c r="M68" s="37"/>
      <c r="N68" s="37"/>
      <c r="O68" s="37"/>
      <c r="P68" s="37"/>
    </row>
    <row r="69" spans="2:18" ht="42" customHeight="1" thickBot="1" x14ac:dyDescent="0.25">
      <c r="C69" s="170" t="s">
        <v>97</v>
      </c>
      <c r="D69" s="170"/>
      <c r="E69" s="170"/>
      <c r="F69" s="170"/>
      <c r="G69" s="134"/>
      <c r="H69" s="37"/>
      <c r="I69" s="37"/>
      <c r="J69" s="37"/>
      <c r="K69" s="37"/>
      <c r="L69" s="37"/>
      <c r="M69" s="37"/>
      <c r="N69" s="37"/>
      <c r="O69" s="37"/>
      <c r="P69" s="37"/>
    </row>
    <row r="70" spans="2:18" ht="26.25" customHeight="1" x14ac:dyDescent="0.2">
      <c r="C70" s="171" t="s">
        <v>98</v>
      </c>
      <c r="D70" s="167" t="s">
        <v>99</v>
      </c>
      <c r="E70" s="167" t="s">
        <v>100</v>
      </c>
      <c r="F70" s="167" t="s">
        <v>101</v>
      </c>
      <c r="H70" s="37"/>
      <c r="I70" s="37"/>
      <c r="J70" s="37"/>
      <c r="K70" s="37"/>
      <c r="L70" s="37"/>
      <c r="M70" s="37"/>
      <c r="N70" s="37"/>
      <c r="O70" s="37"/>
      <c r="P70" s="37"/>
    </row>
    <row r="71" spans="2:18" ht="26.25" customHeight="1" x14ac:dyDescent="0.2">
      <c r="C71" s="172"/>
      <c r="D71" s="168"/>
      <c r="E71" s="168"/>
      <c r="F71" s="168"/>
      <c r="G71" s="37"/>
      <c r="H71" s="37"/>
      <c r="I71" s="37"/>
      <c r="J71" s="37"/>
      <c r="K71" s="37"/>
      <c r="L71" s="37"/>
      <c r="M71" s="37"/>
      <c r="N71" s="37"/>
      <c r="O71" s="37"/>
      <c r="P71" s="37"/>
    </row>
    <row r="72" spans="2:18" ht="26.25" customHeight="1" thickBot="1" x14ac:dyDescent="0.25">
      <c r="C72" s="173"/>
      <c r="D72" s="169"/>
      <c r="E72" s="169"/>
      <c r="F72" s="169"/>
      <c r="G72" s="37"/>
      <c r="H72" s="37"/>
      <c r="I72" s="37"/>
      <c r="J72" s="37"/>
      <c r="K72" s="37"/>
      <c r="L72" s="37"/>
      <c r="M72" s="37"/>
      <c r="N72" s="37"/>
      <c r="O72" s="37"/>
      <c r="P72" s="37"/>
    </row>
    <row r="73" spans="2:18" x14ac:dyDescent="0.2">
      <c r="C73" s="37" t="s">
        <v>95</v>
      </c>
      <c r="D73" s="138">
        <v>20</v>
      </c>
      <c r="E73" s="38"/>
      <c r="F73" s="38">
        <v>90</v>
      </c>
      <c r="G73" s="37"/>
      <c r="H73" s="37"/>
      <c r="I73" s="37"/>
      <c r="J73" s="37"/>
      <c r="K73" s="37"/>
      <c r="L73" s="37"/>
      <c r="M73" s="37"/>
      <c r="N73" s="37"/>
      <c r="O73" s="37"/>
      <c r="P73" s="37"/>
    </row>
    <row r="74" spans="2:18" x14ac:dyDescent="0.2">
      <c r="C74" s="37" t="s">
        <v>95</v>
      </c>
      <c r="D74" s="38"/>
      <c r="E74" s="38">
        <v>3</v>
      </c>
      <c r="F74" s="38">
        <v>60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</row>
    <row r="75" spans="2:18" x14ac:dyDescent="0.2">
      <c r="C75" s="37" t="s">
        <v>21</v>
      </c>
      <c r="D75" s="38">
        <v>25</v>
      </c>
      <c r="E75" s="38"/>
      <c r="F75" s="38">
        <v>30</v>
      </c>
      <c r="G75" s="37"/>
      <c r="H75" s="37"/>
      <c r="I75" s="37"/>
      <c r="J75" s="37"/>
      <c r="K75" s="37"/>
      <c r="L75" s="37"/>
      <c r="M75" s="37"/>
      <c r="N75" s="37"/>
      <c r="O75" s="37"/>
      <c r="P75" s="37"/>
    </row>
    <row r="76" spans="2:18" x14ac:dyDescent="0.2">
      <c r="C76" s="37" t="s">
        <v>21</v>
      </c>
      <c r="D76" s="38"/>
      <c r="E76" s="38">
        <v>3</v>
      </c>
      <c r="F76" s="38">
        <v>60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</row>
    <row r="77" spans="2:18" x14ac:dyDescent="0.2">
      <c r="C77" s="37" t="s">
        <v>23</v>
      </c>
      <c r="D77" s="38">
        <v>30</v>
      </c>
      <c r="E77" s="38"/>
      <c r="F77" s="38">
        <v>90</v>
      </c>
      <c r="G77" s="37"/>
      <c r="H77" s="37"/>
      <c r="I77" s="37"/>
      <c r="J77" s="37"/>
      <c r="K77" s="37"/>
      <c r="L77" s="37"/>
      <c r="M77" s="37"/>
      <c r="N77" s="37"/>
      <c r="O77" s="37"/>
      <c r="P77" s="37"/>
    </row>
    <row r="78" spans="2:18" x14ac:dyDescent="0.2">
      <c r="C78" s="46" t="s">
        <v>25</v>
      </c>
      <c r="D78" s="47">
        <v>25</v>
      </c>
      <c r="E78" s="47"/>
      <c r="F78" s="47">
        <v>120</v>
      </c>
      <c r="G78" s="37"/>
      <c r="H78" s="37"/>
      <c r="I78" s="37"/>
      <c r="J78" s="37"/>
      <c r="K78" s="37"/>
      <c r="L78" s="37"/>
      <c r="M78" s="37"/>
      <c r="N78" s="37"/>
      <c r="O78" s="37"/>
      <c r="P78" s="37"/>
    </row>
    <row r="79" spans="2:18" x14ac:dyDescent="0.2">
      <c r="C79" s="37"/>
      <c r="D79" s="38"/>
      <c r="E79" s="38"/>
      <c r="F79" s="38"/>
      <c r="G79" s="37"/>
      <c r="H79" s="37"/>
      <c r="I79" s="37"/>
      <c r="J79" s="37"/>
      <c r="K79" s="37"/>
      <c r="L79" s="37"/>
      <c r="M79" s="37"/>
      <c r="N79" s="37"/>
      <c r="O79" s="37"/>
      <c r="P79" s="37"/>
    </row>
  </sheetData>
  <mergeCells count="5">
    <mergeCell ref="F70:F72"/>
    <mergeCell ref="C69:F69"/>
    <mergeCell ref="C70:C72"/>
    <mergeCell ref="E70:E72"/>
    <mergeCell ref="D70:D72"/>
  </mergeCells>
  <pageMargins left="0.7" right="0.7" top="0.75" bottom="0.75" header="0.3" footer="0.3"/>
  <pageSetup scale="40" orientation="portrait" r:id="rId1"/>
  <ignoredErrors>
    <ignoredError sqref="C16:C21 C22:C34 D33:O33 O34 C35:P36 D34:N34 P34 P26 P22 P24 P30:P33 P27 P28 P25 P29 P23 F28:K28 F19:G20 H17:N17 H16:M16 H19:O20 D19:E20 O23 N29:O29 M25:O25 D25:G25 N28:O28 D28:E28 D29:K29 N24:O24 D24:K24 F23:G23 D26:O26 D22:O22 D23:E23 L24:M24 D30:O32 D27:O27 L28:M28 H25:L25 L29:M29 H23:N23 D18:O18 D16:G16 N16:O16 D17:G17 O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CC"/>
    <pageSetUpPr fitToPage="1"/>
  </sheetPr>
  <dimension ref="A1:K49"/>
  <sheetViews>
    <sheetView zoomScale="60" zoomScaleNormal="60" workbookViewId="0">
      <selection activeCell="F6" sqref="F6"/>
    </sheetView>
  </sheetViews>
  <sheetFormatPr baseColWidth="10" defaultColWidth="9" defaultRowHeight="18" x14ac:dyDescent="0.2"/>
  <cols>
    <col min="1" max="1" width="3.6640625" style="37" customWidth="1"/>
    <col min="2" max="2" width="2.5" style="14" customWidth="1"/>
    <col min="3" max="3" width="29.83203125" style="14" bestFit="1" customWidth="1"/>
    <col min="4" max="5" width="16.6640625" style="14" customWidth="1"/>
    <col min="6" max="6" width="16.6640625" style="16" customWidth="1"/>
    <col min="7" max="7" width="12.6640625" style="14" customWidth="1"/>
    <col min="8" max="8" width="18.1640625" style="14" customWidth="1"/>
    <col min="9" max="9" width="18.83203125" style="14" customWidth="1"/>
    <col min="10" max="10" width="1.6640625" style="14" bestFit="1" customWidth="1"/>
    <col min="11" max="11" width="27.33203125" style="155" customWidth="1"/>
    <col min="12" max="16384" width="9" style="14"/>
  </cols>
  <sheetData>
    <row r="1" spans="1:11" s="37" customFormat="1" x14ac:dyDescent="0.2">
      <c r="F1" s="38"/>
      <c r="K1" s="153"/>
    </row>
    <row r="2" spans="1:11" s="17" customFormat="1" ht="30" customHeight="1" x14ac:dyDescent="0.2">
      <c r="A2" s="130"/>
      <c r="B2" s="20" t="s">
        <v>102</v>
      </c>
      <c r="C2" s="20"/>
      <c r="D2" s="20"/>
      <c r="E2" s="20"/>
      <c r="F2" s="33"/>
      <c r="G2" s="20"/>
      <c r="H2" s="20"/>
      <c r="I2" s="34" t="s">
        <v>1</v>
      </c>
      <c r="J2" s="59"/>
      <c r="K2" s="154"/>
    </row>
    <row r="3" spans="1:11" s="17" customFormat="1" ht="42" customHeight="1" thickBot="1" x14ac:dyDescent="0.25">
      <c r="A3" s="130"/>
      <c r="B3" s="120"/>
      <c r="C3" s="35"/>
      <c r="D3" s="36" t="s">
        <v>103</v>
      </c>
      <c r="E3" s="36" t="s">
        <v>104</v>
      </c>
      <c r="F3" s="36" t="s">
        <v>105</v>
      </c>
      <c r="G3" s="36" t="s">
        <v>106</v>
      </c>
      <c r="H3" s="36" t="s">
        <v>107</v>
      </c>
      <c r="I3" s="36" t="s">
        <v>108</v>
      </c>
      <c r="J3" s="122">
        <v>1</v>
      </c>
      <c r="K3" s="154"/>
    </row>
    <row r="4" spans="1:11" x14ac:dyDescent="0.2">
      <c r="B4" s="37"/>
      <c r="C4" s="37"/>
      <c r="D4" s="37"/>
      <c r="E4" s="37"/>
      <c r="F4" s="38"/>
      <c r="G4" s="37"/>
      <c r="H4" s="37"/>
      <c r="I4" s="37"/>
      <c r="J4" s="37"/>
    </row>
    <row r="5" spans="1:11" s="18" customFormat="1" x14ac:dyDescent="0.2">
      <c r="A5" s="39"/>
      <c r="B5" s="39" t="s">
        <v>109</v>
      </c>
      <c r="C5" s="39"/>
      <c r="D5" s="39"/>
      <c r="E5" s="39"/>
      <c r="F5" s="40"/>
      <c r="G5" s="39"/>
      <c r="H5" s="39"/>
      <c r="I5" s="39"/>
      <c r="J5" s="39"/>
      <c r="K5" s="156" t="s">
        <v>110</v>
      </c>
    </row>
    <row r="6" spans="1:11" s="18" customFormat="1" x14ac:dyDescent="0.2">
      <c r="A6" s="39"/>
      <c r="B6" s="39" t="s">
        <v>111</v>
      </c>
      <c r="C6" s="39"/>
      <c r="D6" s="39"/>
      <c r="E6" s="39"/>
      <c r="F6" s="40"/>
      <c r="G6" s="39"/>
      <c r="H6" s="39"/>
      <c r="I6" s="39"/>
      <c r="J6" s="39"/>
      <c r="K6" s="161">
        <v>5.0599999999999999E-2</v>
      </c>
    </row>
    <row r="7" spans="1:11" x14ac:dyDescent="0.2">
      <c r="B7" s="37"/>
      <c r="C7" s="37" t="s">
        <v>112</v>
      </c>
      <c r="D7" s="41">
        <v>63000</v>
      </c>
      <c r="E7" s="41">
        <v>0</v>
      </c>
      <c r="F7" s="38">
        <v>100</v>
      </c>
      <c r="G7" s="38">
        <v>25</v>
      </c>
      <c r="H7" s="42">
        <f t="shared" ref="H7:H14" si="0">D7*0.0036</f>
        <v>226.79999999999998</v>
      </c>
      <c r="I7" s="43">
        <f>(D7-E7)*0.071</f>
        <v>4473</v>
      </c>
      <c r="J7" s="37"/>
    </row>
    <row r="8" spans="1:11" x14ac:dyDescent="0.2">
      <c r="B8" s="37"/>
      <c r="C8" s="37" t="s">
        <v>113</v>
      </c>
      <c r="D8" s="41">
        <v>26750</v>
      </c>
      <c r="E8" s="31">
        <v>10700</v>
      </c>
      <c r="F8" s="38">
        <v>100</v>
      </c>
      <c r="G8" s="38">
        <v>30</v>
      </c>
      <c r="H8" s="42">
        <f t="shared" si="0"/>
        <v>96.3</v>
      </c>
      <c r="I8" s="43">
        <f>(D8-E8)*0.065</f>
        <v>1043.25</v>
      </c>
      <c r="J8" s="37"/>
    </row>
    <row r="9" spans="1:11" x14ac:dyDescent="0.2">
      <c r="B9" s="37"/>
      <c r="C9" s="37" t="s">
        <v>114</v>
      </c>
      <c r="D9" s="41">
        <v>5900</v>
      </c>
      <c r="E9" s="41">
        <v>0</v>
      </c>
      <c r="F9" s="38">
        <v>100</v>
      </c>
      <c r="G9" s="38">
        <v>20</v>
      </c>
      <c r="H9" s="42">
        <f t="shared" si="0"/>
        <v>21.24</v>
      </c>
      <c r="I9" s="43">
        <f>(D9-E9)*0.081</f>
        <v>477.90000000000003</v>
      </c>
      <c r="J9" s="37"/>
    </row>
    <row r="10" spans="1:11" x14ac:dyDescent="0.2">
      <c r="B10" s="37"/>
      <c r="C10" s="37" t="s">
        <v>115</v>
      </c>
      <c r="D10" s="41">
        <v>12500</v>
      </c>
      <c r="E10" s="41">
        <v>1250</v>
      </c>
      <c r="F10" s="38">
        <v>100</v>
      </c>
      <c r="G10" s="38">
        <v>30</v>
      </c>
      <c r="H10" s="42">
        <f t="shared" si="0"/>
        <v>45</v>
      </c>
      <c r="I10" s="43">
        <f>(D10-E10)*0.065</f>
        <v>731.25</v>
      </c>
      <c r="J10" s="37"/>
    </row>
    <row r="11" spans="1:11" x14ac:dyDescent="0.2">
      <c r="B11" s="37"/>
      <c r="C11" s="37" t="s">
        <v>116</v>
      </c>
      <c r="D11" s="41">
        <v>800</v>
      </c>
      <c r="E11" s="41">
        <v>0</v>
      </c>
      <c r="F11" s="38">
        <v>100</v>
      </c>
      <c r="G11" s="38">
        <v>10</v>
      </c>
      <c r="H11" s="42">
        <f t="shared" si="0"/>
        <v>2.88</v>
      </c>
      <c r="I11" s="43">
        <f>(D11-E11)*0.13</f>
        <v>104</v>
      </c>
      <c r="J11" s="37"/>
    </row>
    <row r="12" spans="1:11" x14ac:dyDescent="0.2">
      <c r="B12" s="37"/>
      <c r="C12" s="37" t="s">
        <v>117</v>
      </c>
      <c r="D12" s="41">
        <v>1800</v>
      </c>
      <c r="E12" s="41">
        <v>180</v>
      </c>
      <c r="F12" s="38">
        <v>100</v>
      </c>
      <c r="G12" s="38">
        <v>10</v>
      </c>
      <c r="H12" s="42">
        <f t="shared" si="0"/>
        <v>6.4799999999999995</v>
      </c>
      <c r="I12" s="43">
        <f>(D12-E12)*0.13</f>
        <v>210.6</v>
      </c>
      <c r="J12" s="37"/>
    </row>
    <row r="13" spans="1:11" x14ac:dyDescent="0.2">
      <c r="B13" s="37"/>
      <c r="C13" s="37" t="s">
        <v>118</v>
      </c>
      <c r="D13" s="41">
        <v>650</v>
      </c>
      <c r="E13" s="41">
        <v>65</v>
      </c>
      <c r="F13" s="38">
        <v>100</v>
      </c>
      <c r="G13" s="38">
        <v>15</v>
      </c>
      <c r="H13" s="42">
        <f t="shared" si="0"/>
        <v>2.34</v>
      </c>
      <c r="I13" s="43">
        <f>(D13-E13)*0.097</f>
        <v>56.745000000000005</v>
      </c>
      <c r="J13" s="37"/>
    </row>
    <row r="14" spans="1:11" x14ac:dyDescent="0.2">
      <c r="B14" s="37"/>
      <c r="C14" s="37" t="s">
        <v>119</v>
      </c>
      <c r="D14" s="41">
        <v>11550</v>
      </c>
      <c r="E14" s="41">
        <v>1155</v>
      </c>
      <c r="F14" s="38">
        <v>100</v>
      </c>
      <c r="G14" s="38">
        <v>20</v>
      </c>
      <c r="H14" s="42">
        <f t="shared" si="0"/>
        <v>41.58</v>
      </c>
      <c r="I14" s="43">
        <f>(D14-E14)*0.081</f>
        <v>841.995</v>
      </c>
      <c r="J14" s="37"/>
    </row>
    <row r="15" spans="1:11" x14ac:dyDescent="0.2">
      <c r="B15" s="37"/>
      <c r="C15" s="37"/>
      <c r="D15" s="37"/>
      <c r="E15" s="37"/>
      <c r="F15" s="38"/>
      <c r="G15" s="37"/>
      <c r="H15" s="37"/>
      <c r="I15" s="43"/>
      <c r="J15" s="37"/>
    </row>
    <row r="16" spans="1:11" s="18" customFormat="1" x14ac:dyDescent="0.2">
      <c r="A16" s="39"/>
      <c r="B16" s="39" t="s">
        <v>8</v>
      </c>
      <c r="C16" s="39"/>
      <c r="D16" s="44">
        <f>SUM(D7:D14)</f>
        <v>122950</v>
      </c>
      <c r="E16" s="39"/>
      <c r="F16" s="40"/>
      <c r="G16" s="39"/>
      <c r="H16" s="45">
        <f>SUM(H7:H14)</f>
        <v>442.61999999999995</v>
      </c>
      <c r="I16" s="45">
        <f>SUM(I7:I14)</f>
        <v>7938.74</v>
      </c>
      <c r="J16" s="39"/>
      <c r="K16" s="157"/>
    </row>
    <row r="17" spans="1:11" x14ac:dyDescent="0.2">
      <c r="B17" s="46"/>
      <c r="C17" s="46"/>
      <c r="D17" s="46"/>
      <c r="E17" s="46"/>
      <c r="F17" s="47"/>
      <c r="G17" s="46"/>
      <c r="H17" s="46"/>
      <c r="I17" s="43"/>
      <c r="J17" s="46"/>
    </row>
    <row r="18" spans="1:11" x14ac:dyDescent="0.2">
      <c r="B18" s="37"/>
      <c r="C18" s="37"/>
      <c r="D18" s="37"/>
      <c r="E18" s="37"/>
      <c r="F18" s="38"/>
      <c r="G18" s="37"/>
      <c r="H18" s="37"/>
      <c r="I18" s="48"/>
      <c r="J18" s="37"/>
    </row>
    <row r="19" spans="1:11" s="18" customFormat="1" x14ac:dyDescent="0.2">
      <c r="A19" s="39"/>
      <c r="B19" s="39" t="s">
        <v>120</v>
      </c>
      <c r="C19" s="39"/>
      <c r="D19" s="39"/>
      <c r="E19" s="39"/>
      <c r="F19" s="40"/>
      <c r="G19" s="39"/>
      <c r="H19" s="39"/>
      <c r="I19" s="43"/>
      <c r="J19" s="39"/>
      <c r="K19" s="157"/>
    </row>
    <row r="20" spans="1:11" x14ac:dyDescent="0.2">
      <c r="B20" s="37"/>
      <c r="C20" s="37" t="s">
        <v>25</v>
      </c>
      <c r="D20" s="41">
        <f>2500*10</f>
        <v>25000</v>
      </c>
      <c r="E20" s="41">
        <f>600*6</f>
        <v>3600</v>
      </c>
      <c r="F20" s="38">
        <v>100</v>
      </c>
      <c r="G20" s="38">
        <v>10</v>
      </c>
      <c r="H20" s="42"/>
      <c r="I20" s="49">
        <f>(D20-E20)*0.13</f>
        <v>2782</v>
      </c>
      <c r="J20" s="37"/>
    </row>
    <row r="21" spans="1:11" x14ac:dyDescent="0.2">
      <c r="B21" s="37"/>
      <c r="C21" s="37" t="s">
        <v>23</v>
      </c>
      <c r="D21" s="41">
        <f>25*4000</f>
        <v>100000</v>
      </c>
      <c r="E21" s="41">
        <f>'CC7-Budget'!D12*'CC7-Budget'!J12*12</f>
        <v>19008</v>
      </c>
      <c r="F21" s="38">
        <v>100</v>
      </c>
      <c r="G21" s="38">
        <v>4</v>
      </c>
      <c r="H21" s="42"/>
      <c r="I21" s="49">
        <f>(D21-E21)*0.282</f>
        <v>22839.743999999999</v>
      </c>
      <c r="J21" s="37"/>
    </row>
    <row r="22" spans="1:11" x14ac:dyDescent="0.2">
      <c r="B22" s="37"/>
      <c r="C22" s="37"/>
      <c r="D22" s="41"/>
      <c r="E22" s="41"/>
      <c r="F22" s="38"/>
      <c r="G22" s="38"/>
      <c r="H22" s="42"/>
      <c r="I22" s="43"/>
      <c r="J22" s="37"/>
    </row>
    <row r="23" spans="1:11" s="18" customFormat="1" x14ac:dyDescent="0.2">
      <c r="A23" s="39"/>
      <c r="B23" s="39" t="s">
        <v>8</v>
      </c>
      <c r="C23" s="39"/>
      <c r="D23" s="44">
        <f>SUM(D20:D21)</f>
        <v>125000</v>
      </c>
      <c r="E23" s="50"/>
      <c r="F23" s="40"/>
      <c r="G23" s="40"/>
      <c r="H23" s="51"/>
      <c r="I23" s="52">
        <f>SUM(I20:I21)</f>
        <v>25621.743999999999</v>
      </c>
      <c r="J23" s="39"/>
      <c r="K23" s="157"/>
    </row>
    <row r="24" spans="1:11" x14ac:dyDescent="0.2">
      <c r="B24" s="46"/>
      <c r="C24" s="46"/>
      <c r="D24" s="53"/>
      <c r="E24" s="53"/>
      <c r="F24" s="47"/>
      <c r="G24" s="46"/>
      <c r="H24" s="54"/>
      <c r="I24" s="43"/>
      <c r="J24" s="46"/>
    </row>
    <row r="25" spans="1:11" x14ac:dyDescent="0.2">
      <c r="B25" s="37"/>
      <c r="C25" s="37"/>
      <c r="D25" s="41"/>
      <c r="E25" s="41"/>
      <c r="F25" s="38"/>
      <c r="G25" s="37"/>
      <c r="H25" s="42"/>
      <c r="I25" s="55"/>
      <c r="J25" s="37"/>
    </row>
    <row r="26" spans="1:11" s="18" customFormat="1" x14ac:dyDescent="0.2">
      <c r="A26" s="39"/>
      <c r="B26" s="39" t="s">
        <v>121</v>
      </c>
      <c r="C26" s="39"/>
      <c r="D26" s="50"/>
      <c r="E26" s="50"/>
      <c r="F26" s="40"/>
      <c r="G26" s="39"/>
      <c r="H26" s="51"/>
      <c r="I26" s="43"/>
      <c r="J26" s="39"/>
      <c r="K26" s="157"/>
    </row>
    <row r="27" spans="1:11" x14ac:dyDescent="0.2">
      <c r="B27" s="37"/>
      <c r="C27" s="37" t="s">
        <v>122</v>
      </c>
      <c r="D27" s="41">
        <f>1200*80</f>
        <v>96000</v>
      </c>
      <c r="E27" s="41">
        <f>63*'CC7-Budget'!D13*'CC7-Budget'!J13</f>
        <v>70560</v>
      </c>
      <c r="F27" s="38">
        <v>100</v>
      </c>
      <c r="G27" s="37"/>
      <c r="H27" s="42"/>
      <c r="I27" s="43">
        <f>D27*$K$6</f>
        <v>4857.6000000000004</v>
      </c>
      <c r="J27" s="123">
        <v>2</v>
      </c>
    </row>
    <row r="28" spans="1:11" x14ac:dyDescent="0.2">
      <c r="B28" s="37"/>
      <c r="C28" s="37" t="s">
        <v>123</v>
      </c>
      <c r="D28" s="41">
        <f>500*1300</f>
        <v>650000</v>
      </c>
      <c r="E28" s="41">
        <f>300*'CC7-Budget'!D11*'CC7-Budget'!J11</f>
        <v>241200</v>
      </c>
      <c r="F28" s="38">
        <v>100</v>
      </c>
      <c r="G28" s="37"/>
      <c r="H28" s="42"/>
      <c r="I28" s="43">
        <f>D28*$K$6</f>
        <v>32890</v>
      </c>
      <c r="J28" s="123">
        <v>2</v>
      </c>
    </row>
    <row r="29" spans="1:11" x14ac:dyDescent="0.2">
      <c r="B29" s="37"/>
      <c r="C29" s="37"/>
      <c r="D29" s="41"/>
      <c r="E29" s="41"/>
      <c r="F29" s="38"/>
      <c r="G29" s="37"/>
      <c r="H29" s="42"/>
      <c r="I29" s="43"/>
      <c r="J29" s="37"/>
    </row>
    <row r="30" spans="1:11" s="18" customFormat="1" x14ac:dyDescent="0.2">
      <c r="A30" s="39"/>
      <c r="B30" s="39" t="s">
        <v>8</v>
      </c>
      <c r="C30" s="39"/>
      <c r="D30" s="44">
        <f>SUM(D27:D28)</f>
        <v>746000</v>
      </c>
      <c r="E30" s="50"/>
      <c r="F30" s="40"/>
      <c r="G30" s="39"/>
      <c r="H30" s="51"/>
      <c r="I30" s="52">
        <f>SUM(I27:I28)</f>
        <v>37747.599999999999</v>
      </c>
      <c r="J30" s="39"/>
      <c r="K30" s="157"/>
    </row>
    <row r="31" spans="1:11" x14ac:dyDescent="0.2">
      <c r="B31" s="46"/>
      <c r="C31" s="46"/>
      <c r="D31" s="53"/>
      <c r="E31" s="53"/>
      <c r="F31" s="47"/>
      <c r="G31" s="46"/>
      <c r="H31" s="54"/>
      <c r="I31" s="43"/>
      <c r="J31" s="46"/>
    </row>
    <row r="32" spans="1:11" x14ac:dyDescent="0.2">
      <c r="B32" s="37"/>
      <c r="C32" s="37"/>
      <c r="D32" s="41"/>
      <c r="E32" s="41"/>
      <c r="F32" s="38"/>
      <c r="G32" s="37"/>
      <c r="H32" s="42"/>
      <c r="I32" s="55"/>
      <c r="J32" s="37"/>
    </row>
    <row r="33" spans="1:11" s="18" customFormat="1" x14ac:dyDescent="0.2">
      <c r="A33" s="39"/>
      <c r="B33" s="39" t="s">
        <v>124</v>
      </c>
      <c r="C33" s="39"/>
      <c r="D33" s="50"/>
      <c r="E33" s="50"/>
      <c r="F33" s="40"/>
      <c r="G33" s="39"/>
      <c r="H33" s="51"/>
      <c r="I33" s="43"/>
      <c r="J33" s="39"/>
      <c r="K33" s="157"/>
    </row>
    <row r="34" spans="1:11" x14ac:dyDescent="0.2">
      <c r="B34" s="37"/>
      <c r="C34" s="37" t="s">
        <v>125</v>
      </c>
      <c r="D34" s="41">
        <v>30000</v>
      </c>
      <c r="E34" s="41">
        <v>7100</v>
      </c>
      <c r="F34" s="38">
        <v>20</v>
      </c>
      <c r="G34" s="38">
        <v>18</v>
      </c>
      <c r="H34" s="42">
        <f>D34*0.0036</f>
        <v>108</v>
      </c>
      <c r="I34" s="43">
        <f>(D34-E34)*0.086</f>
        <v>1969.3999999999999</v>
      </c>
      <c r="J34" s="37"/>
    </row>
    <row r="35" spans="1:11" x14ac:dyDescent="0.2">
      <c r="B35" s="37"/>
      <c r="C35" s="37" t="s">
        <v>126</v>
      </c>
      <c r="D35" s="41">
        <v>30000</v>
      </c>
      <c r="E35" s="41">
        <v>6000</v>
      </c>
      <c r="F35" s="38">
        <v>55</v>
      </c>
      <c r="G35" s="38">
        <v>18</v>
      </c>
      <c r="H35" s="42">
        <f>D35*0.0036</f>
        <v>108</v>
      </c>
      <c r="I35" s="43">
        <f>(D35-E35)*0.086</f>
        <v>2064</v>
      </c>
      <c r="J35" s="37"/>
    </row>
    <row r="36" spans="1:11" x14ac:dyDescent="0.2">
      <c r="B36" s="37"/>
      <c r="C36" s="37" t="s">
        <v>127</v>
      </c>
      <c r="D36" s="41">
        <v>60000</v>
      </c>
      <c r="E36" s="41">
        <v>5000</v>
      </c>
      <c r="F36" s="38">
        <v>100</v>
      </c>
      <c r="G36" s="38">
        <v>10</v>
      </c>
      <c r="H36" s="42">
        <f>D36*0.0094</f>
        <v>564</v>
      </c>
      <c r="I36" s="43">
        <f>(D36-E36)*0.13</f>
        <v>7150</v>
      </c>
      <c r="J36" s="37"/>
    </row>
    <row r="37" spans="1:11" x14ac:dyDescent="0.2">
      <c r="B37" s="37"/>
      <c r="C37" s="37" t="s">
        <v>128</v>
      </c>
      <c r="D37" s="41">
        <v>40000</v>
      </c>
      <c r="E37" s="41">
        <v>10000</v>
      </c>
      <c r="F37" s="38">
        <v>50</v>
      </c>
      <c r="G37" s="38">
        <v>10</v>
      </c>
      <c r="H37" s="42">
        <f>D37*0.0094</f>
        <v>376</v>
      </c>
      <c r="I37" s="43">
        <f>(D37-E37)*0.13</f>
        <v>3900</v>
      </c>
      <c r="J37" s="37"/>
    </row>
    <row r="38" spans="1:11" x14ac:dyDescent="0.2">
      <c r="B38" s="37"/>
      <c r="C38" s="37" t="s">
        <v>129</v>
      </c>
      <c r="D38" s="41">
        <v>10000</v>
      </c>
      <c r="E38" s="41">
        <v>2500</v>
      </c>
      <c r="F38" s="38">
        <v>25</v>
      </c>
      <c r="G38" s="38">
        <v>8</v>
      </c>
      <c r="H38" s="42">
        <f>D38*0.0094</f>
        <v>94</v>
      </c>
      <c r="I38" s="43">
        <f>(D38-E38)*0.155</f>
        <v>1162.5</v>
      </c>
      <c r="J38" s="37"/>
    </row>
    <row r="39" spans="1:11" x14ac:dyDescent="0.2">
      <c r="B39" s="37"/>
      <c r="C39" s="37" t="s">
        <v>130</v>
      </c>
      <c r="D39" s="41">
        <v>7000</v>
      </c>
      <c r="E39" s="41">
        <v>4000</v>
      </c>
      <c r="F39" s="38">
        <v>100</v>
      </c>
      <c r="G39" s="38">
        <v>10</v>
      </c>
      <c r="H39" s="42">
        <f>D39*0.0094</f>
        <v>65.8</v>
      </c>
      <c r="I39" s="43">
        <f>(D39-E39)*0.13</f>
        <v>390</v>
      </c>
      <c r="J39" s="37"/>
    </row>
    <row r="40" spans="1:11" x14ac:dyDescent="0.2">
      <c r="B40" s="37"/>
      <c r="C40" s="37" t="s">
        <v>131</v>
      </c>
      <c r="D40" s="41">
        <v>4000</v>
      </c>
      <c r="E40" s="41">
        <v>1000</v>
      </c>
      <c r="F40" s="38">
        <v>100</v>
      </c>
      <c r="G40" s="38">
        <v>10</v>
      </c>
      <c r="H40" s="42">
        <f>D40*0.0094</f>
        <v>37.6</v>
      </c>
      <c r="I40" s="43">
        <f>(D40-E40)*0.13</f>
        <v>390</v>
      </c>
      <c r="J40" s="37"/>
    </row>
    <row r="41" spans="1:11" x14ac:dyDescent="0.2">
      <c r="B41" s="37"/>
      <c r="C41" s="37"/>
      <c r="D41" s="41"/>
      <c r="E41" s="41"/>
      <c r="F41" s="38"/>
      <c r="G41" s="37"/>
      <c r="H41" s="42"/>
      <c r="I41" s="42"/>
      <c r="J41" s="37"/>
    </row>
    <row r="42" spans="1:11" s="18" customFormat="1" x14ac:dyDescent="0.2">
      <c r="A42" s="39"/>
      <c r="B42" s="39" t="s">
        <v>8</v>
      </c>
      <c r="C42" s="39"/>
      <c r="D42" s="44">
        <f>SUM(D34:D40)</f>
        <v>181000</v>
      </c>
      <c r="E42" s="50"/>
      <c r="F42" s="40"/>
      <c r="G42" s="39"/>
      <c r="H42" s="45">
        <f>SUM(H34:H38)</f>
        <v>1250</v>
      </c>
      <c r="I42" s="45">
        <f>SUM(I34:I40)</f>
        <v>17025.900000000001</v>
      </c>
      <c r="J42" s="39"/>
      <c r="K42" s="157"/>
    </row>
    <row r="43" spans="1:11" x14ac:dyDescent="0.2">
      <c r="B43" s="46"/>
      <c r="C43" s="46"/>
      <c r="D43" s="46"/>
      <c r="E43" s="46"/>
      <c r="F43" s="47"/>
      <c r="G43" s="46"/>
      <c r="H43" s="46"/>
      <c r="I43" s="46"/>
      <c r="J43" s="46"/>
    </row>
    <row r="44" spans="1:11" x14ac:dyDescent="0.2">
      <c r="B44" s="37"/>
      <c r="C44" s="37"/>
      <c r="D44" s="37"/>
      <c r="E44" s="37"/>
      <c r="F44" s="38"/>
      <c r="G44" s="37"/>
      <c r="H44" s="37"/>
      <c r="I44" s="37"/>
      <c r="J44" s="37"/>
    </row>
    <row r="45" spans="1:11" x14ac:dyDescent="0.2">
      <c r="B45" s="56">
        <v>1</v>
      </c>
      <c r="C45" s="57" t="s">
        <v>132</v>
      </c>
      <c r="D45" s="37"/>
      <c r="E45" s="37"/>
      <c r="F45" s="38"/>
      <c r="G45" s="37"/>
      <c r="H45" s="37"/>
      <c r="I45" s="37"/>
      <c r="J45" s="37"/>
    </row>
    <row r="46" spans="1:11" x14ac:dyDescent="0.2">
      <c r="B46" s="56"/>
      <c r="C46" s="57" t="s">
        <v>133</v>
      </c>
      <c r="D46" s="37"/>
      <c r="E46" s="37"/>
      <c r="F46" s="38"/>
      <c r="G46" s="37"/>
      <c r="H46" s="37"/>
      <c r="I46" s="37"/>
      <c r="J46" s="37"/>
    </row>
    <row r="47" spans="1:11" x14ac:dyDescent="0.2">
      <c r="B47" s="56">
        <v>2</v>
      </c>
      <c r="C47" s="57" t="s">
        <v>134</v>
      </c>
      <c r="D47" s="37"/>
      <c r="E47" s="43"/>
      <c r="F47" s="38"/>
      <c r="G47" s="37"/>
      <c r="H47" s="37"/>
      <c r="I47" s="37"/>
      <c r="J47" s="37"/>
    </row>
    <row r="48" spans="1:11" x14ac:dyDescent="0.2">
      <c r="E48" s="32"/>
    </row>
    <row r="49" spans="5:5" x14ac:dyDescent="0.2">
      <c r="E49" s="32"/>
    </row>
  </sheetData>
  <pageMargins left="0.7" right="0.7" top="0.75" bottom="0.75" header="0.3" footer="0.3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W32"/>
  <sheetViews>
    <sheetView workbookViewId="0">
      <selection activeCell="F21" sqref="F21"/>
    </sheetView>
  </sheetViews>
  <sheetFormatPr baseColWidth="10" defaultColWidth="8.6640625" defaultRowHeight="16" x14ac:dyDescent="0.2"/>
  <cols>
    <col min="1" max="2" width="8.6640625" style="139"/>
    <col min="3" max="3" width="21.1640625" style="139" bestFit="1" customWidth="1"/>
    <col min="4" max="4" width="15.1640625" style="144" customWidth="1"/>
    <col min="5" max="8" width="8.6640625" style="144"/>
    <col min="9" max="9" width="8.6640625" style="150"/>
    <col min="10" max="22" width="8.6640625" style="144"/>
    <col min="23" max="23" width="12.33203125" style="139" bestFit="1" customWidth="1"/>
    <col min="24" max="16384" width="8.6640625" style="139"/>
  </cols>
  <sheetData>
    <row r="1" spans="1:23" x14ac:dyDescent="0.2">
      <c r="C1" s="142" t="s">
        <v>135</v>
      </c>
    </row>
    <row r="3" spans="1:23" x14ac:dyDescent="0.2">
      <c r="K3" s="144" t="s">
        <v>136</v>
      </c>
    </row>
    <row r="4" spans="1:23" x14ac:dyDescent="0.2">
      <c r="A4" s="148" t="s">
        <v>137</v>
      </c>
      <c r="D4" s="145" t="s">
        <v>138</v>
      </c>
      <c r="E4" s="145" t="s">
        <v>139</v>
      </c>
      <c r="F4" s="145" t="s">
        <v>140</v>
      </c>
      <c r="G4" s="145"/>
      <c r="H4" s="145" t="s">
        <v>94</v>
      </c>
      <c r="I4" s="151" t="s">
        <v>141</v>
      </c>
      <c r="J4" s="145" t="s">
        <v>142</v>
      </c>
      <c r="K4" s="143" t="s">
        <v>75</v>
      </c>
      <c r="L4" s="143" t="s">
        <v>76</v>
      </c>
      <c r="M4" s="143" t="s">
        <v>77</v>
      </c>
      <c r="N4" s="143" t="s">
        <v>78</v>
      </c>
      <c r="O4" s="143" t="s">
        <v>79</v>
      </c>
      <c r="P4" s="143" t="s">
        <v>80</v>
      </c>
      <c r="Q4" s="143" t="s">
        <v>81</v>
      </c>
      <c r="R4" s="143" t="s">
        <v>82</v>
      </c>
      <c r="S4" s="143" t="s">
        <v>83</v>
      </c>
      <c r="T4" s="143" t="s">
        <v>84</v>
      </c>
      <c r="U4" s="143" t="s">
        <v>85</v>
      </c>
      <c r="V4" s="143" t="s">
        <v>86</v>
      </c>
      <c r="W4" s="143" t="s">
        <v>8</v>
      </c>
    </row>
    <row r="5" spans="1:23" x14ac:dyDescent="0.2">
      <c r="A5" s="149"/>
      <c r="C5" s="142" t="s">
        <v>19</v>
      </c>
      <c r="D5" s="144">
        <v>218</v>
      </c>
      <c r="E5" s="150"/>
      <c r="F5" s="150"/>
    </row>
    <row r="6" spans="1:23" x14ac:dyDescent="0.2">
      <c r="A6" s="149" t="s">
        <v>143</v>
      </c>
      <c r="C6" s="139" t="s">
        <v>144</v>
      </c>
      <c r="E6" s="150">
        <v>50</v>
      </c>
      <c r="F6" s="150">
        <v>77.489999999999995</v>
      </c>
      <c r="H6" s="144" t="s">
        <v>145</v>
      </c>
      <c r="I6" s="152">
        <f>F6/E6</f>
        <v>1.5497999999999998</v>
      </c>
      <c r="M6" s="144">
        <v>1</v>
      </c>
      <c r="U6" s="144">
        <v>1</v>
      </c>
      <c r="W6" s="140">
        <f>SUM(K6:V6)*$D$5*I6</f>
        <v>675.7127999999999</v>
      </c>
    </row>
    <row r="7" spans="1:23" x14ac:dyDescent="0.2">
      <c r="A7" s="149" t="s">
        <v>146</v>
      </c>
      <c r="C7" s="139" t="s">
        <v>147</v>
      </c>
      <c r="E7" s="150">
        <v>50</v>
      </c>
      <c r="F7" s="150">
        <v>42.29</v>
      </c>
      <c r="H7" s="144" t="s">
        <v>145</v>
      </c>
      <c r="I7" s="152">
        <f t="shared" ref="I7:I29" si="0">F7/E7</f>
        <v>0.8458</v>
      </c>
      <c r="M7" s="144">
        <v>1</v>
      </c>
      <c r="U7" s="144">
        <v>1</v>
      </c>
      <c r="W7" s="140">
        <f t="shared" ref="W7" si="1">SUM(K7:V7)*$D$5*I7</f>
        <v>368.7688</v>
      </c>
    </row>
    <row r="8" spans="1:23" x14ac:dyDescent="0.2">
      <c r="A8" s="149"/>
      <c r="C8" s="142" t="s">
        <v>22</v>
      </c>
      <c r="D8" s="144">
        <v>218</v>
      </c>
      <c r="E8" s="150"/>
      <c r="F8" s="150"/>
      <c r="I8" s="152"/>
      <c r="W8" s="140"/>
    </row>
    <row r="9" spans="1:23" x14ac:dyDescent="0.2">
      <c r="A9" s="149" t="s">
        <v>143</v>
      </c>
      <c r="C9" s="139" t="s">
        <v>144</v>
      </c>
      <c r="E9" s="150">
        <v>50</v>
      </c>
      <c r="F9" s="150">
        <v>77.489999999999995</v>
      </c>
      <c r="H9" s="146" t="s">
        <v>145</v>
      </c>
      <c r="I9" s="152">
        <f t="shared" si="0"/>
        <v>1.5497999999999998</v>
      </c>
      <c r="M9" s="144">
        <v>1</v>
      </c>
      <c r="U9" s="144">
        <v>1</v>
      </c>
      <c r="W9" s="140">
        <f>SUM(K9:V9)*$D$8*I9</f>
        <v>675.7127999999999</v>
      </c>
    </row>
    <row r="10" spans="1:23" x14ac:dyDescent="0.2">
      <c r="A10" s="149" t="s">
        <v>146</v>
      </c>
      <c r="C10" s="139" t="s">
        <v>147</v>
      </c>
      <c r="E10" s="150">
        <v>50</v>
      </c>
      <c r="F10" s="150">
        <v>42.29</v>
      </c>
      <c r="H10" s="144" t="s">
        <v>145</v>
      </c>
      <c r="I10" s="152">
        <f t="shared" si="0"/>
        <v>0.8458</v>
      </c>
      <c r="M10" s="144">
        <v>1</v>
      </c>
      <c r="U10" s="144">
        <v>1</v>
      </c>
      <c r="W10" s="140">
        <f>SUM(K10:V10)*$D$8*I10</f>
        <v>368.7688</v>
      </c>
    </row>
    <row r="11" spans="1:23" x14ac:dyDescent="0.2">
      <c r="A11" s="149"/>
      <c r="C11" s="139" t="s">
        <v>148</v>
      </c>
      <c r="E11" s="150">
        <v>1</v>
      </c>
      <c r="F11" s="150">
        <v>4</v>
      </c>
      <c r="H11" s="144" t="s">
        <v>145</v>
      </c>
      <c r="I11" s="152">
        <f t="shared" si="0"/>
        <v>4</v>
      </c>
      <c r="U11" s="144">
        <v>1</v>
      </c>
      <c r="W11" s="140">
        <f>SUM(K11:V11)*$D$8*I11</f>
        <v>872</v>
      </c>
    </row>
    <row r="12" spans="1:23" x14ac:dyDescent="0.2">
      <c r="A12" s="149"/>
      <c r="C12" s="142" t="s">
        <v>21</v>
      </c>
      <c r="D12" s="144">
        <v>500</v>
      </c>
      <c r="E12" s="150"/>
      <c r="F12" s="150"/>
      <c r="I12" s="152"/>
      <c r="W12" s="140"/>
    </row>
    <row r="13" spans="1:23" x14ac:dyDescent="0.2">
      <c r="A13" s="149" t="s">
        <v>149</v>
      </c>
      <c r="C13" s="139" t="s">
        <v>144</v>
      </c>
      <c r="E13" s="150">
        <v>50</v>
      </c>
      <c r="F13" s="150">
        <v>65.290000000000006</v>
      </c>
      <c r="H13" s="144" t="s">
        <v>145</v>
      </c>
      <c r="I13" s="152">
        <f t="shared" si="0"/>
        <v>1.3058000000000001</v>
      </c>
      <c r="M13" s="144">
        <v>1</v>
      </c>
      <c r="W13" s="140">
        <f>SUM(K13:V13)*$D$12*I13</f>
        <v>652.90000000000009</v>
      </c>
    </row>
    <row r="14" spans="1:23" x14ac:dyDescent="0.2">
      <c r="A14" s="149" t="s">
        <v>150</v>
      </c>
      <c r="C14" s="139" t="s">
        <v>151</v>
      </c>
      <c r="E14" s="150">
        <v>50</v>
      </c>
      <c r="F14" s="150">
        <v>127.29</v>
      </c>
      <c r="H14" s="144" t="s">
        <v>145</v>
      </c>
      <c r="I14" s="152">
        <f t="shared" si="0"/>
        <v>2.5458000000000003</v>
      </c>
      <c r="M14" s="144">
        <v>1</v>
      </c>
      <c r="W14" s="140">
        <f>SUM(K14:V14)*$D$12*I14</f>
        <v>1272.9000000000001</v>
      </c>
    </row>
    <row r="15" spans="1:23" x14ac:dyDescent="0.2">
      <c r="A15" s="149" t="s">
        <v>152</v>
      </c>
      <c r="C15" s="139" t="s">
        <v>153</v>
      </c>
      <c r="E15" s="150">
        <v>384</v>
      </c>
      <c r="F15" s="150">
        <v>432.5</v>
      </c>
      <c r="H15" s="144" t="s">
        <v>145</v>
      </c>
      <c r="I15" s="152">
        <f t="shared" si="0"/>
        <v>1.1263020833333333</v>
      </c>
      <c r="M15" s="144">
        <v>1</v>
      </c>
      <c r="N15" s="144" t="s">
        <v>154</v>
      </c>
      <c r="W15" s="140">
        <f>SUM(K15:V15)*$D$12*I15</f>
        <v>563.15104166666663</v>
      </c>
    </row>
    <row r="16" spans="1:23" x14ac:dyDescent="0.2">
      <c r="A16" s="149" t="s">
        <v>155</v>
      </c>
      <c r="C16" s="139" t="s">
        <v>156</v>
      </c>
      <c r="E16" s="150">
        <v>100</v>
      </c>
      <c r="F16" s="150">
        <v>197.39</v>
      </c>
      <c r="H16" s="144" t="s">
        <v>47</v>
      </c>
      <c r="I16" s="152">
        <f t="shared" si="0"/>
        <v>1.9738999999999998</v>
      </c>
      <c r="M16" s="144">
        <v>1</v>
      </c>
      <c r="W16" s="140">
        <f t="shared" ref="W16:W17" si="2">SUM(K16:V16)*$D$12*I16</f>
        <v>986.94999999999993</v>
      </c>
    </row>
    <row r="17" spans="1:23" x14ac:dyDescent="0.2">
      <c r="A17" s="149"/>
      <c r="C17" s="139" t="s">
        <v>157</v>
      </c>
      <c r="E17" s="150">
        <v>1</v>
      </c>
      <c r="F17" s="150">
        <v>4</v>
      </c>
      <c r="H17" s="144" t="s">
        <v>47</v>
      </c>
      <c r="I17" s="152">
        <f t="shared" si="0"/>
        <v>4</v>
      </c>
      <c r="U17" s="144">
        <v>1</v>
      </c>
      <c r="W17" s="140">
        <f t="shared" si="2"/>
        <v>2000</v>
      </c>
    </row>
    <row r="18" spans="1:23" x14ac:dyDescent="0.2">
      <c r="A18" s="149"/>
      <c r="C18" s="142" t="s">
        <v>95</v>
      </c>
      <c r="D18" s="144">
        <v>88</v>
      </c>
      <c r="E18" s="150"/>
      <c r="F18" s="150"/>
      <c r="I18" s="152"/>
      <c r="W18" s="140"/>
    </row>
    <row r="19" spans="1:23" x14ac:dyDescent="0.2">
      <c r="A19" s="149" t="s">
        <v>149</v>
      </c>
      <c r="C19" s="139" t="s">
        <v>144</v>
      </c>
      <c r="E19" s="150">
        <v>50</v>
      </c>
      <c r="F19" s="150">
        <v>65.290000000000006</v>
      </c>
      <c r="H19" s="144" t="s">
        <v>145</v>
      </c>
      <c r="I19" s="152">
        <f t="shared" si="0"/>
        <v>1.3058000000000001</v>
      </c>
      <c r="N19" s="144">
        <v>1</v>
      </c>
      <c r="U19" s="144">
        <v>1</v>
      </c>
      <c r="W19" s="140">
        <f>SUM(K19:V19)*$D$18*I19</f>
        <v>229.82080000000002</v>
      </c>
    </row>
    <row r="20" spans="1:23" x14ac:dyDescent="0.2">
      <c r="A20" s="149" t="s">
        <v>150</v>
      </c>
      <c r="C20" s="139" t="s">
        <v>151</v>
      </c>
      <c r="E20" s="150">
        <v>50</v>
      </c>
      <c r="F20" s="150">
        <v>127.29</v>
      </c>
      <c r="H20" s="144" t="s">
        <v>145</v>
      </c>
      <c r="I20" s="152">
        <f t="shared" si="0"/>
        <v>2.5458000000000003</v>
      </c>
      <c r="N20" s="144">
        <v>1</v>
      </c>
      <c r="W20" s="140">
        <f t="shared" ref="W20:W23" si="3">SUM(K20:V20)*$D$18*I20</f>
        <v>224.03040000000001</v>
      </c>
    </row>
    <row r="21" spans="1:23" x14ac:dyDescent="0.2">
      <c r="A21" s="149" t="s">
        <v>152</v>
      </c>
      <c r="C21" s="139" t="s">
        <v>153</v>
      </c>
      <c r="E21" s="150">
        <v>384</v>
      </c>
      <c r="F21" s="150">
        <v>432.5</v>
      </c>
      <c r="H21" s="144" t="s">
        <v>145</v>
      </c>
      <c r="I21" s="152">
        <f t="shared" si="0"/>
        <v>1.1263020833333333</v>
      </c>
      <c r="U21" s="144">
        <v>1</v>
      </c>
      <c r="W21" s="140">
        <f t="shared" si="3"/>
        <v>99.114583333333329</v>
      </c>
    </row>
    <row r="22" spans="1:23" x14ac:dyDescent="0.2">
      <c r="A22" s="149" t="s">
        <v>158</v>
      </c>
      <c r="C22" s="139" t="s">
        <v>156</v>
      </c>
      <c r="E22" s="150">
        <v>100</v>
      </c>
      <c r="F22" s="150">
        <v>197.39</v>
      </c>
      <c r="H22" s="144" t="s">
        <v>47</v>
      </c>
      <c r="I22" s="152">
        <f t="shared" si="0"/>
        <v>1.9738999999999998</v>
      </c>
      <c r="N22" s="144">
        <v>1</v>
      </c>
      <c r="W22" s="140">
        <f t="shared" si="3"/>
        <v>173.70319999999998</v>
      </c>
    </row>
    <row r="23" spans="1:23" x14ac:dyDescent="0.2">
      <c r="A23" s="149"/>
      <c r="C23" s="139" t="s">
        <v>157</v>
      </c>
      <c r="E23" s="150">
        <v>1</v>
      </c>
      <c r="F23" s="150">
        <v>4</v>
      </c>
      <c r="H23" s="144" t="s">
        <v>47</v>
      </c>
      <c r="I23" s="152">
        <f t="shared" si="0"/>
        <v>4</v>
      </c>
      <c r="U23" s="144">
        <v>1</v>
      </c>
      <c r="W23" s="140">
        <f t="shared" si="3"/>
        <v>352</v>
      </c>
    </row>
    <row r="24" spans="1:23" x14ac:dyDescent="0.2">
      <c r="A24" s="149"/>
      <c r="C24" s="142" t="s">
        <v>23</v>
      </c>
      <c r="D24" s="144">
        <v>25</v>
      </c>
      <c r="E24" s="150"/>
      <c r="F24" s="150"/>
      <c r="I24" s="152"/>
      <c r="W24" s="140"/>
    </row>
    <row r="25" spans="1:23" x14ac:dyDescent="0.2">
      <c r="A25" s="149" t="s">
        <v>159</v>
      </c>
      <c r="C25" s="139" t="s">
        <v>144</v>
      </c>
      <c r="E25" s="150">
        <v>50</v>
      </c>
      <c r="F25" s="150">
        <v>65.290000000000006</v>
      </c>
      <c r="H25" s="144" t="s">
        <v>145</v>
      </c>
      <c r="I25" s="152">
        <f t="shared" si="0"/>
        <v>1.3058000000000001</v>
      </c>
      <c r="N25" s="144">
        <v>1</v>
      </c>
      <c r="W25" s="140">
        <f>SUM(K25:V25)*$D$24*I25</f>
        <v>32.645000000000003</v>
      </c>
    </row>
    <row r="26" spans="1:23" x14ac:dyDescent="0.2">
      <c r="A26" s="149" t="s">
        <v>146</v>
      </c>
      <c r="C26" s="139" t="s">
        <v>147</v>
      </c>
      <c r="E26" s="150">
        <v>50</v>
      </c>
      <c r="F26" s="150">
        <v>42.29</v>
      </c>
      <c r="H26" s="146" t="s">
        <v>145</v>
      </c>
      <c r="I26" s="152">
        <f t="shared" si="0"/>
        <v>0.8458</v>
      </c>
      <c r="U26" s="144">
        <v>1</v>
      </c>
      <c r="W26" s="140">
        <f t="shared" ref="W26:W29" si="4">SUM(K26:V26)*$D$24*I26</f>
        <v>21.145</v>
      </c>
    </row>
    <row r="27" spans="1:23" x14ac:dyDescent="0.2">
      <c r="A27" s="149" t="s">
        <v>152</v>
      </c>
      <c r="C27" s="139" t="s">
        <v>153</v>
      </c>
      <c r="E27" s="150">
        <v>384</v>
      </c>
      <c r="F27" s="150">
        <v>432.5</v>
      </c>
      <c r="H27" s="144" t="s">
        <v>145</v>
      </c>
      <c r="I27" s="152">
        <f t="shared" si="0"/>
        <v>1.1263020833333333</v>
      </c>
      <c r="N27" s="144">
        <v>1</v>
      </c>
      <c r="W27" s="140">
        <f t="shared" si="4"/>
        <v>28.157552083333332</v>
      </c>
    </row>
    <row r="28" spans="1:23" x14ac:dyDescent="0.2">
      <c r="A28" s="149"/>
      <c r="C28" s="139" t="s">
        <v>160</v>
      </c>
      <c r="E28" s="150">
        <v>1</v>
      </c>
      <c r="F28" s="150">
        <v>65</v>
      </c>
      <c r="H28" s="144" t="s">
        <v>47</v>
      </c>
      <c r="I28" s="152">
        <f t="shared" si="0"/>
        <v>65</v>
      </c>
      <c r="N28" s="144">
        <v>1</v>
      </c>
      <c r="W28" s="140">
        <f t="shared" si="4"/>
        <v>1625</v>
      </c>
    </row>
    <row r="29" spans="1:23" x14ac:dyDescent="0.2">
      <c r="A29" s="149" t="s">
        <v>158</v>
      </c>
      <c r="C29" s="139" t="s">
        <v>156</v>
      </c>
      <c r="E29" s="150">
        <v>100</v>
      </c>
      <c r="F29" s="150">
        <v>197.39</v>
      </c>
      <c r="H29" s="144" t="s">
        <v>47</v>
      </c>
      <c r="I29" s="152">
        <f t="shared" si="0"/>
        <v>1.9738999999999998</v>
      </c>
      <c r="N29" s="144">
        <v>1</v>
      </c>
      <c r="W29" s="140">
        <f t="shared" si="4"/>
        <v>49.347499999999997</v>
      </c>
    </row>
    <row r="30" spans="1:23" x14ac:dyDescent="0.2">
      <c r="V30" s="144" t="s">
        <v>8</v>
      </c>
      <c r="W30" s="141">
        <f>SUM(W6:W29)</f>
        <v>11271.828277083334</v>
      </c>
    </row>
    <row r="32" spans="1:23" x14ac:dyDescent="0.2">
      <c r="W32" s="147">
        <f>W30*1.25</f>
        <v>14089.785346354167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DFC1C65FA9C43B3D426A2F26160B0" ma:contentTypeVersion="4" ma:contentTypeDescription="Create a new document." ma:contentTypeScope="" ma:versionID="7fb9a6271c88993c85fdca747f0de706">
  <xsd:schema xmlns:xsd="http://www.w3.org/2001/XMLSchema" xmlns:xs="http://www.w3.org/2001/XMLSchema" xmlns:p="http://schemas.microsoft.com/office/2006/metadata/properties" xmlns:ns2="07fa8e7a-295e-42d7-ba41-90f774d1974b" targetNamespace="http://schemas.microsoft.com/office/2006/metadata/properties" ma:root="true" ma:fieldsID="3706c5a532ac0b9b5f07660202d2c498" ns2:_="">
    <xsd:import namespace="07fa8e7a-295e-42d7-ba41-90f774d197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a8e7a-295e-42d7-ba41-90f774d197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45852F-D915-49C8-A163-E4527B319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0EDE8D-037E-42CC-BF7E-F5FD1982B18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64D8B07-3B3F-47A2-82C8-FEC865F827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fa8e7a-295e-42d7-ba41-90f774d197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CC7-Budget</vt:lpstr>
      <vt:lpstr>Monthly Flows</vt:lpstr>
      <vt:lpstr>Investment</vt:lpstr>
      <vt:lpstr>Vet</vt:lpstr>
      <vt:lpstr>'CC7-Budget'!Print_Area</vt:lpstr>
    </vt:vector>
  </TitlesOfParts>
  <Manager/>
  <Company>University of Idaho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</dc:creator>
  <cp:keywords/>
  <dc:description/>
  <cp:lastModifiedBy>Patrick Hatzenbuehler</cp:lastModifiedBy>
  <cp:revision/>
  <dcterms:created xsi:type="dcterms:W3CDTF">2015-08-20T20:25:14Z</dcterms:created>
  <dcterms:modified xsi:type="dcterms:W3CDTF">2022-06-06T19:27:56Z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0x010100DCBDFC1C65FA9C43B3D426A2F26160B0</vt:lpwstr>
  </property>
</Properties>
</file>