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576" yWindow="636" windowWidth="15288" windowHeight="11496" tabRatio="848"/>
  </bookViews>
  <sheets>
    <sheet name="Title" sheetId="11" r:id="rId1"/>
    <sheet name="Background &amp; Assumptions" sheetId="14" r:id="rId2"/>
    <sheet name="Summary" sheetId="4" r:id="rId3"/>
    <sheet name="Table 1 Enterprise Budget " sheetId="3" r:id="rId4"/>
    <sheet name="Table 2 Capital Costs" sheetId="8" r:id="rId5"/>
    <sheet name="Amortization Factors" sheetId="10" state="hidden" r:id="rId6"/>
    <sheet name="Tables 3 &amp; 4" sheetId="13" r:id="rId7"/>
    <sheet name="Table 5" sheetId="12" r:id="rId8"/>
  </sheets>
  <definedNames>
    <definedName name="dr">#REF!</definedName>
    <definedName name="FreeStall_No.">'Table 1 Enterprise Budget '!$C$2</definedName>
    <definedName name="FreeStall_Prod.">Summary!$D$3</definedName>
    <definedName name="OpenLot_No.">'Table 1 Enterprise Budget '!$C$2</definedName>
    <definedName name="OpenLot_Prod">Summary!$D$3</definedName>
    <definedName name="Pmilk">Summary!$D$5</definedName>
    <definedName name="_xlnm.Print_Area" localSheetId="1">'Background &amp; Assumptions'!$A$1:$K$74</definedName>
    <definedName name="_xlnm.Print_Area" localSheetId="2">Summary!$A$1:$E$18</definedName>
    <definedName name="_xlnm.Print_Area" localSheetId="3">'Table 1 Enterprise Budget '!$A$3:$R$117</definedName>
    <definedName name="_xlnm.Print_Area" localSheetId="4">'Table 2 Capital Costs'!$A$1:$J$68</definedName>
    <definedName name="_xlnm.Print_Area" localSheetId="7">'Table 5'!$A$1:$Q$65</definedName>
    <definedName name="_xlnm.Print_Area" localSheetId="6">'Tables 3 &amp; 4'!$A$1:$N$64</definedName>
    <definedName name="_xlnm.Print_Area" localSheetId="0">Title!$A$1:$K$44</definedName>
    <definedName name="PRODMED">'Table 1 Enterprise Budget '!$I$2</definedName>
  </definedNames>
  <calcPr calcId="145621"/>
</workbook>
</file>

<file path=xl/calcChain.xml><?xml version="1.0" encoding="utf-8"?>
<calcChain xmlns="http://schemas.openxmlformats.org/spreadsheetml/2006/main">
  <c r="G43" i="3" l="1"/>
  <c r="C43" i="3"/>
  <c r="G16" i="3" l="1"/>
  <c r="I34" i="3" l="1"/>
  <c r="I58" i="8"/>
  <c r="L53" i="12"/>
  <c r="M53" i="12"/>
  <c r="P53" i="12"/>
  <c r="I53" i="12"/>
  <c r="L52" i="12"/>
  <c r="M52" i="12"/>
  <c r="I52" i="12"/>
  <c r="L51" i="12"/>
  <c r="M51" i="12"/>
  <c r="I51" i="12"/>
  <c r="L50" i="12"/>
  <c r="M50" i="12"/>
  <c r="P50" i="12"/>
  <c r="I50" i="12"/>
  <c r="L49" i="12"/>
  <c r="M49" i="12"/>
  <c r="P49" i="12"/>
  <c r="I49" i="12"/>
  <c r="L48" i="12"/>
  <c r="M48" i="12"/>
  <c r="I48" i="12"/>
  <c r="L47" i="12"/>
  <c r="M47" i="12"/>
  <c r="I47" i="12"/>
  <c r="P47" i="12"/>
  <c r="L46" i="12"/>
  <c r="M46" i="12"/>
  <c r="P46" i="12"/>
  <c r="L45" i="12"/>
  <c r="M45" i="12"/>
  <c r="P45" i="12"/>
  <c r="I45" i="12"/>
  <c r="L44" i="12"/>
  <c r="M44" i="12"/>
  <c r="I44" i="12"/>
  <c r="L43" i="12"/>
  <c r="M43" i="12"/>
  <c r="I43" i="12"/>
  <c r="L42" i="12"/>
  <c r="M42" i="12"/>
  <c r="P42" i="12"/>
  <c r="I42" i="12"/>
  <c r="L41" i="12"/>
  <c r="M41" i="12"/>
  <c r="I41" i="12"/>
  <c r="P41" i="12"/>
  <c r="L40" i="12"/>
  <c r="M40" i="12"/>
  <c r="P40" i="12"/>
  <c r="I40" i="12"/>
  <c r="L39" i="12"/>
  <c r="M39" i="12"/>
  <c r="I39" i="12"/>
  <c r="L38" i="12"/>
  <c r="M38" i="12"/>
  <c r="P38" i="12"/>
  <c r="I38" i="12"/>
  <c r="L37" i="12"/>
  <c r="M37" i="12"/>
  <c r="P37" i="12"/>
  <c r="I37" i="12"/>
  <c r="L36" i="12"/>
  <c r="M36" i="12"/>
  <c r="I36" i="12"/>
  <c r="P36" i="12"/>
  <c r="L35" i="12"/>
  <c r="M35" i="12"/>
  <c r="I35" i="12"/>
  <c r="L34" i="12"/>
  <c r="M34" i="12"/>
  <c r="P34" i="12"/>
  <c r="I34" i="12"/>
  <c r="L33" i="12"/>
  <c r="M33" i="12"/>
  <c r="P33" i="12"/>
  <c r="I33" i="12"/>
  <c r="I30" i="12"/>
  <c r="I29" i="12"/>
  <c r="I26" i="12"/>
  <c r="I24" i="12"/>
  <c r="I25" i="12"/>
  <c r="C22" i="12"/>
  <c r="I22" i="12"/>
  <c r="I21" i="12" s="1"/>
  <c r="I19" i="12"/>
  <c r="P19" i="12"/>
  <c r="I18" i="12"/>
  <c r="P18" i="12"/>
  <c r="I17" i="12"/>
  <c r="P17" i="12"/>
  <c r="I16" i="12"/>
  <c r="I15" i="12"/>
  <c r="P16" i="12"/>
  <c r="C13" i="12"/>
  <c r="I13" i="12" s="1"/>
  <c r="P13" i="12" s="1"/>
  <c r="C9" i="12"/>
  <c r="M9" i="12"/>
  <c r="C22" i="8"/>
  <c r="I22" i="8"/>
  <c r="P48" i="12"/>
  <c r="P51" i="12"/>
  <c r="P52" i="12"/>
  <c r="I28" i="12"/>
  <c r="P28" i="12"/>
  <c r="P44" i="12"/>
  <c r="P35" i="12"/>
  <c r="P43" i="12"/>
  <c r="I9" i="12"/>
  <c r="P9" i="12"/>
  <c r="L51" i="8"/>
  <c r="M51" i="8"/>
  <c r="I51" i="8"/>
  <c r="L50" i="8"/>
  <c r="M50" i="8"/>
  <c r="P50" i="8"/>
  <c r="I50" i="8"/>
  <c r="L52" i="8"/>
  <c r="M52" i="8"/>
  <c r="P52" i="8"/>
  <c r="I52" i="8"/>
  <c r="L44" i="8"/>
  <c r="M44" i="8"/>
  <c r="I44" i="8"/>
  <c r="P44" i="8"/>
  <c r="P51" i="8"/>
  <c r="G51" i="3"/>
  <c r="G42" i="3"/>
  <c r="G41" i="3"/>
  <c r="K41" i="3" s="1"/>
  <c r="G40" i="3"/>
  <c r="G39" i="3"/>
  <c r="G38" i="3"/>
  <c r="G37" i="3"/>
  <c r="K37" i="3" s="1"/>
  <c r="G36" i="3"/>
  <c r="K36" i="3" s="1"/>
  <c r="G35" i="3"/>
  <c r="G34" i="3"/>
  <c r="K34" i="3" s="1"/>
  <c r="G31" i="3"/>
  <c r="K31" i="3"/>
  <c r="M31" i="3" s="1"/>
  <c r="O31" i="3" s="1"/>
  <c r="G30" i="3"/>
  <c r="K30" i="3" s="1"/>
  <c r="G29" i="3"/>
  <c r="K29" i="3" s="1"/>
  <c r="G28" i="3"/>
  <c r="K28" i="3" s="1"/>
  <c r="G27" i="3"/>
  <c r="K27" i="3" s="1"/>
  <c r="Q27" i="3" s="1"/>
  <c r="G26" i="3"/>
  <c r="K26" i="3" s="1"/>
  <c r="M26" i="3" s="1"/>
  <c r="O26" i="3" s="1"/>
  <c r="G25" i="3"/>
  <c r="K25" i="3" s="1"/>
  <c r="Q25" i="3" s="1"/>
  <c r="G24" i="3"/>
  <c r="G23" i="3"/>
  <c r="K23" i="3"/>
  <c r="G22" i="3"/>
  <c r="K22" i="3" s="1"/>
  <c r="G21" i="3"/>
  <c r="K21" i="3" s="1"/>
  <c r="G20" i="3"/>
  <c r="G19" i="3"/>
  <c r="K19" i="3"/>
  <c r="G18" i="3"/>
  <c r="G17" i="3"/>
  <c r="K16" i="3"/>
  <c r="G12" i="3"/>
  <c r="K12" i="3" s="1"/>
  <c r="G11" i="3"/>
  <c r="K11" i="3" s="1"/>
  <c r="K8" i="3" s="1"/>
  <c r="G10" i="3"/>
  <c r="K10" i="3" s="1"/>
  <c r="C9" i="3"/>
  <c r="K9" i="3" s="1"/>
  <c r="Q9" i="3" s="1"/>
  <c r="E77" i="3"/>
  <c r="G2" i="3"/>
  <c r="L33" i="8"/>
  <c r="M33" i="8"/>
  <c r="L46" i="8"/>
  <c r="M46" i="8"/>
  <c r="P46" i="8"/>
  <c r="I48" i="8"/>
  <c r="P48" i="8"/>
  <c r="L48" i="8"/>
  <c r="M48" i="8"/>
  <c r="I47" i="8"/>
  <c r="L47" i="8"/>
  <c r="M47" i="8"/>
  <c r="P47" i="8"/>
  <c r="I49" i="8"/>
  <c r="L49" i="8"/>
  <c r="M49" i="8"/>
  <c r="I43" i="8"/>
  <c r="L43" i="8"/>
  <c r="M43" i="8"/>
  <c r="L40" i="8"/>
  <c r="M40" i="8"/>
  <c r="L39" i="8"/>
  <c r="M39" i="8"/>
  <c r="P39" i="8"/>
  <c r="I40" i="8"/>
  <c r="I39" i="8"/>
  <c r="P40" i="8"/>
  <c r="P49" i="8"/>
  <c r="L53" i="8"/>
  <c r="M53" i="8"/>
  <c r="L45" i="8"/>
  <c r="M45" i="8"/>
  <c r="P45" i="8"/>
  <c r="L42" i="8"/>
  <c r="M42" i="8"/>
  <c r="L41" i="8"/>
  <c r="M41" i="8"/>
  <c r="P41" i="8"/>
  <c r="L38" i="8"/>
  <c r="M38" i="8"/>
  <c r="L37" i="8"/>
  <c r="M37" i="8"/>
  <c r="P37" i="8"/>
  <c r="L36" i="8"/>
  <c r="M36" i="8"/>
  <c r="L35" i="8"/>
  <c r="M35" i="8"/>
  <c r="P35" i="8"/>
  <c r="L34" i="8"/>
  <c r="M34" i="8"/>
  <c r="I53" i="8"/>
  <c r="P53" i="8"/>
  <c r="I45" i="8"/>
  <c r="I42" i="8"/>
  <c r="P42" i="8"/>
  <c r="I41" i="8"/>
  <c r="I38" i="8"/>
  <c r="P38" i="8"/>
  <c r="I37" i="8"/>
  <c r="I36" i="8"/>
  <c r="P36" i="8"/>
  <c r="I35" i="8"/>
  <c r="I34" i="8"/>
  <c r="I32" i="8"/>
  <c r="I33" i="8"/>
  <c r="P33" i="8"/>
  <c r="I30" i="8"/>
  <c r="I29" i="8"/>
  <c r="I28" i="8"/>
  <c r="P28" i="8"/>
  <c r="I26" i="8"/>
  <c r="I25" i="8"/>
  <c r="I19" i="8"/>
  <c r="P19" i="8"/>
  <c r="I18" i="8"/>
  <c r="P18" i="8"/>
  <c r="I17" i="8"/>
  <c r="I15" i="8"/>
  <c r="P17" i="8"/>
  <c r="I16" i="8"/>
  <c r="C13" i="8"/>
  <c r="I13" i="8"/>
  <c r="C9" i="8"/>
  <c r="P34" i="8"/>
  <c r="I24" i="8"/>
  <c r="P24" i="8"/>
  <c r="G57" i="8"/>
  <c r="I57" i="8"/>
  <c r="P16" i="8"/>
  <c r="L24" i="8"/>
  <c r="L60" i="8"/>
  <c r="K43" i="3"/>
  <c r="Q43" i="3" s="1"/>
  <c r="M43" i="3"/>
  <c r="O43" i="3" s="1"/>
  <c r="K42" i="3"/>
  <c r="K40" i="3"/>
  <c r="Q40" i="3"/>
  <c r="K39" i="3"/>
  <c r="M39" i="3" s="1"/>
  <c r="O39" i="3" s="1"/>
  <c r="Q39" i="3"/>
  <c r="K38" i="3"/>
  <c r="M38" i="3" s="1"/>
  <c r="O38" i="3" s="1"/>
  <c r="K35" i="3"/>
  <c r="Q35" i="3" s="1"/>
  <c r="K24" i="3"/>
  <c r="M24" i="3"/>
  <c r="O24" i="3"/>
  <c r="K20" i="3"/>
  <c r="Q20" i="3"/>
  <c r="K18" i="3"/>
  <c r="M18" i="3"/>
  <c r="O18" i="3"/>
  <c r="K17" i="3"/>
  <c r="M17" i="3" s="1"/>
  <c r="O17" i="3" s="1"/>
  <c r="Q26" i="3"/>
  <c r="E89" i="3"/>
  <c r="C89" i="3" s="1"/>
  <c r="G89" i="3"/>
  <c r="I89" i="3" s="1"/>
  <c r="D7" i="4"/>
  <c r="M20" i="3"/>
  <c r="O20" i="3"/>
  <c r="Q18" i="3"/>
  <c r="P32" i="8"/>
  <c r="P43" i="8"/>
  <c r="L24" i="12"/>
  <c r="C12" i="12"/>
  <c r="I12" i="12"/>
  <c r="M24" i="12"/>
  <c r="P24" i="12"/>
  <c r="L55" i="12"/>
  <c r="L56" i="12"/>
  <c r="P39" i="12"/>
  <c r="I32" i="12"/>
  <c r="P32" i="12"/>
  <c r="M19" i="3"/>
  <c r="O19" i="3"/>
  <c r="Q19" i="3"/>
  <c r="Q24" i="3"/>
  <c r="Q11" i="3"/>
  <c r="G77" i="3"/>
  <c r="I77" i="3"/>
  <c r="C77" i="3"/>
  <c r="P22" i="8"/>
  <c r="I21" i="8"/>
  <c r="G56" i="8" s="1"/>
  <c r="Q10" i="3"/>
  <c r="M10" i="3"/>
  <c r="O10" i="3" s="1"/>
  <c r="I8" i="12"/>
  <c r="M40" i="3"/>
  <c r="O40" i="3"/>
  <c r="Q38" i="3"/>
  <c r="M9" i="3"/>
  <c r="O9" i="3" s="1"/>
  <c r="Q21" i="3" l="1"/>
  <c r="M21" i="3"/>
  <c r="O21" i="3" s="1"/>
  <c r="M28" i="3"/>
  <c r="O28" i="3" s="1"/>
  <c r="Q28" i="3"/>
  <c r="Q22" i="3"/>
  <c r="M22" i="3"/>
  <c r="O22" i="3" s="1"/>
  <c r="Q42" i="3"/>
  <c r="M42" i="3"/>
  <c r="O42" i="3" s="1"/>
  <c r="Q34" i="3"/>
  <c r="M34" i="3"/>
  <c r="M11" i="3"/>
  <c r="O11" i="3" s="1"/>
  <c r="M27" i="3"/>
  <c r="O27" i="3" s="1"/>
  <c r="Q17" i="3"/>
  <c r="M35" i="3"/>
  <c r="O35" i="3" s="1"/>
  <c r="M36" i="3"/>
  <c r="O36" i="3" s="1"/>
  <c r="Q36" i="3"/>
  <c r="Q37" i="3"/>
  <c r="M37" i="3"/>
  <c r="O37" i="3" s="1"/>
  <c r="M9" i="8"/>
  <c r="C12" i="8"/>
  <c r="I12" i="8" s="1"/>
  <c r="I9" i="8"/>
  <c r="K15" i="3"/>
  <c r="Q15" i="3" s="1"/>
  <c r="Q23" i="3"/>
  <c r="M23" i="3"/>
  <c r="O23" i="3" s="1"/>
  <c r="Q30" i="3"/>
  <c r="M30" i="3"/>
  <c r="O30" i="3" s="1"/>
  <c r="I55" i="8"/>
  <c r="I52" i="3" s="1"/>
  <c r="K52" i="3" s="1"/>
  <c r="I56" i="8"/>
  <c r="P12" i="12"/>
  <c r="P61" i="12" s="1"/>
  <c r="I11" i="12"/>
  <c r="I55" i="12" s="1"/>
  <c r="Q12" i="3"/>
  <c r="M12" i="3"/>
  <c r="O12" i="3" s="1"/>
  <c r="K33" i="3"/>
  <c r="M25" i="3"/>
  <c r="O25" i="3" s="1"/>
  <c r="Q29" i="3"/>
  <c r="M29" i="3"/>
  <c r="O29" i="3" s="1"/>
  <c r="M41" i="3"/>
  <c r="O41" i="3" s="1"/>
  <c r="Q41" i="3"/>
  <c r="P22" i="12"/>
  <c r="Q31" i="3"/>
  <c r="Q16" i="3"/>
  <c r="M16" i="3"/>
  <c r="M8" i="3"/>
  <c r="Q8" i="3"/>
  <c r="I58" i="12" l="1"/>
  <c r="I59" i="12" s="1"/>
  <c r="I56" i="12"/>
  <c r="I61" i="12"/>
  <c r="P62" i="12"/>
  <c r="I62" i="12" s="1"/>
  <c r="I8" i="8"/>
  <c r="I60" i="8" s="1"/>
  <c r="P9" i="8"/>
  <c r="K45" i="3"/>
  <c r="Q33" i="3"/>
  <c r="Q45" i="3" s="1"/>
  <c r="O34" i="3"/>
  <c r="O33" i="3" s="1"/>
  <c r="M33" i="3"/>
  <c r="I11" i="8"/>
  <c r="P12" i="8"/>
  <c r="Q52" i="3"/>
  <c r="M52" i="3"/>
  <c r="O52" i="3" s="1"/>
  <c r="M15" i="3"/>
  <c r="O16" i="3"/>
  <c r="O15" i="3" s="1"/>
  <c r="O8" i="3"/>
  <c r="D8" i="4"/>
  <c r="I53" i="3" l="1"/>
  <c r="K47" i="3"/>
  <c r="M60" i="8"/>
  <c r="I61" i="8"/>
  <c r="P66" i="8"/>
  <c r="M45" i="3"/>
  <c r="D10" i="4"/>
  <c r="P67" i="8" l="1"/>
  <c r="I66" i="8"/>
  <c r="M47" i="3"/>
  <c r="O47" i="3" s="1"/>
  <c r="Q47" i="3"/>
  <c r="I63" i="8"/>
  <c r="M61" i="8"/>
  <c r="I64" i="8" s="1"/>
  <c r="M53" i="3"/>
  <c r="O53" i="3" s="1"/>
  <c r="K53" i="3"/>
  <c r="Q53" i="3"/>
  <c r="G78" i="3"/>
  <c r="O45" i="3"/>
  <c r="C90" i="3"/>
  <c r="E78" i="3"/>
  <c r="E90" i="3"/>
  <c r="D11" i="4"/>
  <c r="G90" i="3"/>
  <c r="I90" i="3"/>
  <c r="I78" i="3"/>
  <c r="C78" i="3"/>
  <c r="I51" i="3" l="1"/>
  <c r="K51" i="3" s="1"/>
  <c r="I67" i="8"/>
  <c r="D15" i="4"/>
  <c r="M51" i="3" l="1"/>
  <c r="Q51" i="3"/>
  <c r="Q49" i="3" s="1"/>
  <c r="K49" i="3"/>
  <c r="K56" i="3" s="1"/>
  <c r="Q56" i="3" l="1"/>
  <c r="Q58" i="3" s="1"/>
  <c r="K58" i="3"/>
  <c r="M56" i="3"/>
  <c r="O51" i="3"/>
  <c r="M49" i="3"/>
  <c r="O56" i="3" l="1"/>
  <c r="O58" i="3" s="1"/>
  <c r="C92" i="3"/>
  <c r="G92" i="3"/>
  <c r="C80" i="3"/>
  <c r="G80" i="3"/>
  <c r="E92" i="3"/>
  <c r="I80" i="3"/>
  <c r="E80" i="3"/>
  <c r="I92" i="3"/>
  <c r="M58" i="3"/>
  <c r="I91" i="3"/>
  <c r="D12" i="4"/>
  <c r="D13" i="4" s="1"/>
  <c r="D16" i="4" s="1"/>
  <c r="G91" i="3"/>
  <c r="C91" i="3"/>
  <c r="G79" i="3"/>
  <c r="I79" i="3"/>
  <c r="E91" i="3"/>
  <c r="C79" i="3"/>
  <c r="E79" i="3"/>
  <c r="O49" i="3"/>
</calcChain>
</file>

<file path=xl/comments1.xml><?xml version="1.0" encoding="utf-8"?>
<comments xmlns="http://schemas.openxmlformats.org/spreadsheetml/2006/main">
  <authors>
    <author>Kate Painter</author>
  </authors>
  <commentList>
    <comment ref="D3" authorId="0">
      <text>
        <r>
          <rPr>
            <b/>
            <sz val="9"/>
            <color indexed="81"/>
            <rFont val="Tahoma"/>
            <family val="2"/>
          </rPr>
          <t>Kate Painter:</t>
        </r>
        <r>
          <rPr>
            <sz val="9"/>
            <color indexed="81"/>
            <rFont val="Tahoma"/>
            <family val="2"/>
          </rPr>
          <t xml:space="preserve">
This is the 2012 average milk production per cow in Idaho.</t>
        </r>
      </text>
    </comment>
  </commentList>
</comments>
</file>

<file path=xl/comments2.xml><?xml version="1.0" encoding="utf-8"?>
<comments xmlns="http://schemas.openxmlformats.org/spreadsheetml/2006/main">
  <authors>
    <author>Kate Painter</author>
  </authors>
  <commentList>
    <comment ref="P12" authorId="0">
      <text>
        <r>
          <rPr>
            <b/>
            <sz val="9"/>
            <color indexed="81"/>
            <rFont val="Tahoma"/>
            <family val="2"/>
          </rPr>
          <t>Kate Painter:</t>
        </r>
        <r>
          <rPr>
            <sz val="9"/>
            <color indexed="81"/>
            <rFont val="Tahoma"/>
            <family val="2"/>
          </rPr>
          <t xml:space="preserve">
Land payment only; no depreciation on land.</t>
        </r>
      </text>
    </comment>
    <comment ref="A13" authorId="0">
      <text>
        <r>
          <rPr>
            <b/>
            <sz val="9"/>
            <color indexed="81"/>
            <rFont val="Tahoma"/>
            <family val="2"/>
          </rPr>
          <t>Kate Painter:</t>
        </r>
        <r>
          <rPr>
            <sz val="9"/>
            <color indexed="81"/>
            <rFont val="Tahoma"/>
            <family val="2"/>
          </rPr>
          <t xml:space="preserve">
includes nutrient management</t>
        </r>
      </text>
    </comment>
    <comment ref="A18" authorId="0">
      <text>
        <r>
          <rPr>
            <b/>
            <sz val="9"/>
            <color indexed="81"/>
            <rFont val="Tahoma"/>
            <family val="2"/>
          </rPr>
          <t>Kate Painter:</t>
        </r>
        <r>
          <rPr>
            <sz val="9"/>
            <color indexed="81"/>
            <rFont val="Tahoma"/>
            <family val="2"/>
          </rPr>
          <t xml:space="preserve">
180' x 50' with 8"
 gravel base</t>
        </r>
      </text>
    </comment>
    <comment ref="A28" authorId="0">
      <text>
        <r>
          <rPr>
            <b/>
            <sz val="9"/>
            <color indexed="81"/>
            <rFont val="Tahoma"/>
            <family val="2"/>
          </rPr>
          <t>Kate Painter:</t>
        </r>
        <r>
          <rPr>
            <sz val="9"/>
            <color indexed="81"/>
            <rFont val="Tahoma"/>
            <family val="2"/>
          </rPr>
          <t xml:space="preserve">
should we include this?</t>
        </r>
      </text>
    </comment>
  </commentList>
</comments>
</file>

<file path=xl/comments3.xml><?xml version="1.0" encoding="utf-8"?>
<comments xmlns="http://schemas.openxmlformats.org/spreadsheetml/2006/main">
  <authors>
    <author>Kate Painter</author>
  </authors>
  <commentList>
    <comment ref="A18" authorId="0">
      <text>
        <r>
          <rPr>
            <b/>
            <sz val="9"/>
            <color indexed="81"/>
            <rFont val="Tahoma"/>
            <family val="2"/>
          </rPr>
          <t>Kate Painter:</t>
        </r>
        <r>
          <rPr>
            <sz val="9"/>
            <color indexed="81"/>
            <rFont val="Tahoma"/>
            <family val="2"/>
          </rPr>
          <t xml:space="preserve">
180' x 50' with 8"
 gravel base</t>
        </r>
      </text>
    </comment>
  </commentList>
</comments>
</file>

<file path=xl/sharedStrings.xml><?xml version="1.0" encoding="utf-8"?>
<sst xmlns="http://schemas.openxmlformats.org/spreadsheetml/2006/main" count="505" uniqueCount="248">
  <si>
    <t>Quantity</t>
  </si>
  <si>
    <t>Price or</t>
  </si>
  <si>
    <t>Value or</t>
  </si>
  <si>
    <t>Item</t>
  </si>
  <si>
    <t>Unit</t>
  </si>
  <si>
    <t>Cost</t>
  </si>
  <si>
    <t>Machinery:</t>
  </si>
  <si>
    <t>ac</t>
  </si>
  <si>
    <t>Initial Capital Outlays:</t>
  </si>
  <si>
    <t>Cattle:</t>
  </si>
  <si>
    <t>Initial cow purchase</t>
  </si>
  <si>
    <t>Land:</t>
  </si>
  <si>
    <t>Land purchase</t>
  </si>
  <si>
    <t>hd</t>
  </si>
  <si>
    <t>Site Prep: Permits, well, roads</t>
  </si>
  <si>
    <t>Feeding Facilities:</t>
  </si>
  <si>
    <t>Scales</t>
  </si>
  <si>
    <t>farm</t>
  </si>
  <si>
    <t>Milking Barn</t>
  </si>
  <si>
    <t>sq ft</t>
  </si>
  <si>
    <t>stall</t>
  </si>
  <si>
    <t>Hospital Barn</t>
  </si>
  <si>
    <t>Building</t>
  </si>
  <si>
    <t>Generator</t>
  </si>
  <si>
    <t>4-wheelers</t>
  </si>
  <si>
    <t>10-wheel truck (manure removal)</t>
  </si>
  <si>
    <t>Tractor-125 HP</t>
  </si>
  <si>
    <t>Straw Spreader</t>
  </si>
  <si>
    <t>Loaders, used</t>
  </si>
  <si>
    <t>Miscellaneous</t>
  </si>
  <si>
    <t>Total Capital Costs</t>
  </si>
  <si>
    <t>Double 6 parallel stalls</t>
  </si>
  <si>
    <t>Double 36 parallel stalls</t>
  </si>
  <si>
    <t>Commodity shed, 7 bays</t>
  </si>
  <si>
    <t>Hay storage (1,200 tons)</t>
  </si>
  <si>
    <t>Hay tarps, 50' x 50'</t>
  </si>
  <si>
    <t>stack</t>
  </si>
  <si>
    <t>Milk</t>
  </si>
  <si>
    <t>Per Head</t>
  </si>
  <si>
    <t>cwt</t>
  </si>
  <si>
    <t>Cost/Dairy</t>
  </si>
  <si>
    <t>No. of</t>
  </si>
  <si>
    <t>Cows</t>
  </si>
  <si>
    <t>Bull Calves</t>
  </si>
  <si>
    <t>Heifer Calves</t>
  </si>
  <si>
    <t>Cull Cows</t>
  </si>
  <si>
    <t>head</t>
  </si>
  <si>
    <t>Operating Costs:</t>
  </si>
  <si>
    <t>Cost/Cwt</t>
  </si>
  <si>
    <t>NUMBER OF COWS:</t>
  </si>
  <si>
    <t>Total Operating Costs</t>
  </si>
  <si>
    <t>Net Returns Above Variable Costs</t>
  </si>
  <si>
    <t>Fixed Costs:</t>
  </si>
  <si>
    <t>Income:</t>
  </si>
  <si>
    <t>Alfalfa hay, dairy</t>
  </si>
  <si>
    <t>Feeder hay</t>
  </si>
  <si>
    <t>Close-up hay</t>
  </si>
  <si>
    <t>Straw</t>
  </si>
  <si>
    <t>Corn silage (32%DM)</t>
  </si>
  <si>
    <t>Beet pulp</t>
  </si>
  <si>
    <t xml:space="preserve">Corn  </t>
  </si>
  <si>
    <t>Barley</t>
  </si>
  <si>
    <t>Canola</t>
  </si>
  <si>
    <t>Distillers</t>
  </si>
  <si>
    <t>Cottonseed</t>
  </si>
  <si>
    <t>Molasses</t>
  </si>
  <si>
    <t>Mineral, fresh cows</t>
  </si>
  <si>
    <t>Mineral, lactating cows</t>
  </si>
  <si>
    <t>Mineral, dry cows</t>
  </si>
  <si>
    <t>Mineral, close-up cows</t>
  </si>
  <si>
    <t>Feed  (ton/head/yr):</t>
  </si>
  <si>
    <t>Cost/Head/Yr</t>
  </si>
  <si>
    <t>Cost/Head/Day</t>
  </si>
  <si>
    <t>Milk hauling</t>
  </si>
  <si>
    <t>State &amp; association charges</t>
  </si>
  <si>
    <t>Veterinary, breeding, testing</t>
  </si>
  <si>
    <t>Other costs:</t>
  </si>
  <si>
    <t>Labor, including fringe costs</t>
  </si>
  <si>
    <t>Herd replacement costs</t>
  </si>
  <si>
    <t>Supplies</t>
  </si>
  <si>
    <t>Repairs and maintenance</t>
  </si>
  <si>
    <t>Utilities</t>
  </si>
  <si>
    <t>Interest</t>
  </si>
  <si>
    <t>Miscellaneous (fuel, insur., etc.)</t>
  </si>
  <si>
    <t>Net Returns Above Total Costs</t>
  </si>
  <si>
    <t>Total Costs (Operating and Fixed)</t>
  </si>
  <si>
    <t>Price</t>
  </si>
  <si>
    <t>($/head)</t>
  </si>
  <si>
    <t>Milk Price ($/cwt)</t>
  </si>
  <si>
    <t>Annual Milk Production (cwt/head)</t>
  </si>
  <si>
    <t>Change values in red and blue type to see global changes.</t>
  </si>
  <si>
    <t>Base</t>
  </si>
  <si>
    <t>Operating Cost Breakeven</t>
  </si>
  <si>
    <t>Ownership Cost Breakeven</t>
  </si>
  <si>
    <t>Total Cost Breakeven</t>
  </si>
  <si>
    <t>Less:</t>
  </si>
  <si>
    <t>Plus:</t>
  </si>
  <si>
    <t>(cwt/hd/yr):</t>
  </si>
  <si>
    <t xml:space="preserve">Yield </t>
  </si>
  <si>
    <t xml:space="preserve"> (n)</t>
  </si>
  <si>
    <t>Interest Rate</t>
  </si>
  <si>
    <t>(i)</t>
  </si>
  <si>
    <t>Capital</t>
  </si>
  <si>
    <t>Recovery</t>
  </si>
  <si>
    <t>Factor</t>
  </si>
  <si>
    <t>Value</t>
  </si>
  <si>
    <t>Total:</t>
  </si>
  <si>
    <t>Rate</t>
  </si>
  <si>
    <t xml:space="preserve">Discount </t>
  </si>
  <si>
    <t xml:space="preserve">Years </t>
  </si>
  <si>
    <t>of Life</t>
  </si>
  <si>
    <t>Total Capital Recovery Costs</t>
  </si>
  <si>
    <t>Salvage</t>
  </si>
  <si>
    <t>($/herd)</t>
  </si>
  <si>
    <t>Table 1.  Amortization Factors for Equal Total Payments</t>
  </si>
  <si>
    <t>Years</t>
  </si>
  <si>
    <t>Tractor-75 HP</t>
  </si>
  <si>
    <t>Tractor-60 HP</t>
  </si>
  <si>
    <t>Vacuum tank</t>
  </si>
  <si>
    <t>Backhoe</t>
  </si>
  <si>
    <t>Skid steer loader</t>
  </si>
  <si>
    <t>(208) 885-6041</t>
  </si>
  <si>
    <t>kpainter@uidaho.edu</t>
  </si>
  <si>
    <t>Budget spreadsheets are available at the following link:</t>
  </si>
  <si>
    <t>Kathleen Painter</t>
  </si>
  <si>
    <t>and</t>
  </si>
  <si>
    <r>
      <t>C. Wilson Gray</t>
    </r>
    <r>
      <rPr>
        <vertAlign val="superscript"/>
        <sz val="10"/>
        <rFont val="Arial"/>
        <family val="2"/>
      </rPr>
      <t>1</t>
    </r>
  </si>
  <si>
    <r>
      <rPr>
        <vertAlign val="superscript"/>
        <sz val="11"/>
        <color indexed="8"/>
        <rFont val="Calibri"/>
        <family val="2"/>
      </rPr>
      <t>1</t>
    </r>
    <r>
      <rPr>
        <sz val="11"/>
        <color theme="1"/>
        <rFont val="Calibri"/>
        <family val="2"/>
        <scheme val="minor"/>
      </rPr>
      <t>Authors are an analyst and a livestock Extension specialist, respectively, with the</t>
    </r>
  </si>
  <si>
    <t>wgray@uidaho.edu</t>
  </si>
  <si>
    <t>(208) 736-3622</t>
  </si>
  <si>
    <t>Department of Ag. Econ. &amp; Rural Sociology, University of Idaho.</t>
  </si>
  <si>
    <t xml:space="preserve">Twin Falls, ID </t>
  </si>
  <si>
    <t>Moscow, ID</t>
  </si>
  <si>
    <t>for the base price in the enterprise budget above, as well as for milk prices that are 10% above and below the base yield.</t>
  </si>
  <si>
    <t>($/cwt):</t>
  </si>
  <si>
    <t>Breakeven Milk Prices ($/cwt):</t>
  </si>
  <si>
    <t>Breakeven Yields (cwt/hd/year):</t>
  </si>
  <si>
    <t>Per Dairy</t>
  </si>
  <si>
    <t>Jan</t>
  </si>
  <si>
    <t>Feb</t>
  </si>
  <si>
    <t>Mar</t>
  </si>
  <si>
    <t>Apr</t>
  </si>
  <si>
    <t>May</t>
  </si>
  <si>
    <t>Jun</t>
  </si>
  <si>
    <t>Jul</t>
  </si>
  <si>
    <t>Aug</t>
  </si>
  <si>
    <t>Sep</t>
  </si>
  <si>
    <t>Oct</t>
  </si>
  <si>
    <t>Nov</t>
  </si>
  <si>
    <t>Dec</t>
  </si>
  <si>
    <t>Production:</t>
  </si>
  <si>
    <t>Total</t>
  </si>
  <si>
    <t>Total Receipts</t>
  </si>
  <si>
    <t>Operating Inputs:</t>
  </si>
  <si>
    <t>Corn</t>
  </si>
  <si>
    <t xml:space="preserve">Barley </t>
  </si>
  <si>
    <t>Repairs &amp; maintenance</t>
  </si>
  <si>
    <t>Misc. (fuel, insur., etc.)</t>
  </si>
  <si>
    <t>Veterinary Medicine</t>
  </si>
  <si>
    <t>Machinery (Fuel,Lube,Repair)</t>
  </si>
  <si>
    <t>Vehicles (Fuel and Repair)</t>
  </si>
  <si>
    <t>Equipment (Repair)</t>
  </si>
  <si>
    <t>Housing, Improvements (Repair)</t>
  </si>
  <si>
    <t>Taxes and Insurance</t>
  </si>
  <si>
    <t>Feed (tons):</t>
  </si>
  <si>
    <t>*See Table 2.</t>
  </si>
  <si>
    <t>Breakeven Price and Yield</t>
  </si>
  <si>
    <t>The second breakeven analysis below presents breakeven yields that will  cover operating costs, ownership costs, and total costs</t>
  </si>
  <si>
    <t>ANNUAL PRODUCTION</t>
  </si>
  <si>
    <t>Column1</t>
  </si>
  <si>
    <t>Column2</t>
  </si>
  <si>
    <t>Column3</t>
  </si>
  <si>
    <t>Column4</t>
  </si>
  <si>
    <t>Column5</t>
  </si>
  <si>
    <t>Column6</t>
  </si>
  <si>
    <t>Column7</t>
  </si>
  <si>
    <t>Column8</t>
  </si>
  <si>
    <t>Column9</t>
  </si>
  <si>
    <t>Column10</t>
  </si>
  <si>
    <t>Column11</t>
  </si>
  <si>
    <t>Column12</t>
  </si>
  <si>
    <t>Column13</t>
  </si>
  <si>
    <t>Column14</t>
  </si>
  <si>
    <t>Telehandler loader</t>
  </si>
  <si>
    <t>Gooseneck trailer, 28'</t>
  </si>
  <si>
    <t>Boxscraper</t>
  </si>
  <si>
    <t>Brush hog, 10'</t>
  </si>
  <si>
    <t>Farm pickups, new</t>
  </si>
  <si>
    <t>Farm pickups, used</t>
  </si>
  <si>
    <t>Semis, with feedbox mixers, new</t>
  </si>
  <si>
    <t>Semis, with feedbox mixers, used</t>
  </si>
  <si>
    <t>Dump truck</t>
  </si>
  <si>
    <t>Freestall Barn</t>
  </si>
  <si>
    <t>Stalls, in 5 barns, 525' x 210'</t>
  </si>
  <si>
    <t>Table 1: Annual Enterprise Budget for a 2500-Head Free Stall Dairy</t>
  </si>
  <si>
    <t>in Southern Idaho</t>
  </si>
  <si>
    <t>Returns over Total Costs ($/head/year)</t>
  </si>
  <si>
    <t>Annual Milk Revenue  ($/head/year)</t>
  </si>
  <si>
    <t>Total Revenue  ($/head/year)</t>
  </si>
  <si>
    <t>Annual Feed Costs  ($/head/year)</t>
  </si>
  <si>
    <t>Total Variable Costs  ($/head/year)</t>
  </si>
  <si>
    <t>Fixed Costs  ($/head/year)</t>
  </si>
  <si>
    <t>Total Costs  ($/head/year)</t>
  </si>
  <si>
    <t>Returns over Variable Costs  ($/head/year)</t>
  </si>
  <si>
    <t>Table 2. Capital Costs for 2500-Head Free Stall Dairy in Southern Idaho</t>
  </si>
  <si>
    <t>Table 4: Monthly Feed Requirements (tons) for a 2500-Head Free Stall Dairy in Southern Idaho</t>
  </si>
  <si>
    <t>Table 3: Monthly Summary of Returns and Expenses for a 2500-Head Free Stall Dairy in Southern Idaho</t>
  </si>
  <si>
    <t>Table 5: Investment Summary for a 2500-Head Free Stall Dairy in Southern Idaho</t>
  </si>
  <si>
    <t>The first breakeven analysis below presents breakeven milk prices ($/cwt) that will cover operating costs, ownership costs, and</t>
  </si>
  <si>
    <t>total costs for the base yield in the enterprise budget above, as well as for milk yields that are 10% above and below the base yield.</t>
  </si>
  <si>
    <t xml:space="preserve">In the spreadsheet version (Excel), you can change the numbers in the percentages in the orange cells and all  values will be  </t>
  </si>
  <si>
    <t xml:space="preserve">updated. Costs, prices, and yields in this breakeven table are all linked to values  in the budget above, so any changes in the </t>
  </si>
  <si>
    <t xml:space="preserve">budgetswill be automatically updated in these breakeven analyses. </t>
  </si>
  <si>
    <t>Overhead (2.5% Oper Costs)</t>
  </si>
  <si>
    <t>Insur., facilities @ $5 per $1,000</t>
  </si>
  <si>
    <t xml:space="preserve">Insur., machinery, @ $4 per $1,000 </t>
  </si>
  <si>
    <t>Insurance:</t>
  </si>
  <si>
    <t>Capital recovery*</t>
  </si>
  <si>
    <t>Insurance*</t>
  </si>
  <si>
    <t>Liability Insur. ($1 million coverage)</t>
  </si>
  <si>
    <t>herd</t>
  </si>
  <si>
    <t>Average Capital Costs (Purchase - Salvage Value)/2</t>
  </si>
  <si>
    <t>Land purchase*</t>
  </si>
  <si>
    <t>Site Prep: Permits, well, roads**</t>
  </si>
  <si>
    <t>*Opportunity cost on land investment is calculated as land value multiplied by the interest rate. Land is not depreciable.</t>
  </si>
  <si>
    <t>**Site preparation charges include nutrient management expenses.</t>
  </si>
  <si>
    <t>Capital Costs per Head</t>
  </si>
  <si>
    <t>Capital Recovery Costs per Head</t>
  </si>
  <si>
    <t>Total Capital Costs/Salvage Value</t>
  </si>
  <si>
    <t>Capital Costs/Salvage Value per Head</t>
  </si>
  <si>
    <t>Average Capital Costs per Head</t>
  </si>
  <si>
    <t xml:space="preserve">Average Capital Costs </t>
  </si>
  <si>
    <t>Issued in furtherance of cooperative extension work in agriculture and home economics, Acts of May 8 and June 30, 1914,</t>
  </si>
  <si>
    <t>in cooperation with the U.S. Department of Agriculture, Charlotte Eberlein, Director of Cooperative Extension System,</t>
  </si>
  <si>
    <t>University of Idaho, Moscow, Idaho 83843. The University of Idaho provides equal opportunity in education and employment on the basis of</t>
  </si>
  <si>
    <t>race, color, religion, national origin, gender, age disability, or status as a Vietnam-era veteran, as required by state and federal laws.</t>
  </si>
  <si>
    <t>The Authors - Kathleen Painter is a farm and ranch economics specialist in the University of Idaho</t>
  </si>
  <si>
    <t>Department of Agricultural Economics and Rural Sociology, Moscow. C. Wilson Gray is an Extension agricultural</t>
  </si>
  <si>
    <t>economist in the UI District III Extension Office.</t>
  </si>
  <si>
    <t>These tables are also available for you to modify in a spreadsheet version:</t>
  </si>
  <si>
    <t>http://www.cals.uidaho.edu/aers/LivestockEBB2010/EBBD4102500.xlsx</t>
  </si>
  <si>
    <t>In the spreadsheet version, you can change values in red and they will be updated throughout the budget.</t>
  </si>
  <si>
    <t>EBB-D4-12 Costs and Returns for a 2500-Head Free Stall Dairy</t>
  </si>
  <si>
    <t>http://web.cals.uidaho.edu/idahoagbiz/enterprise-budgets/</t>
  </si>
  <si>
    <t>06-13 (revised)</t>
  </si>
  <si>
    <t>Summary of Annual Costs and Returns for Operating a 2500-Head Free Stall Dairy in Southern Idaho, 2012 ($/head/year)</t>
  </si>
  <si>
    <t>$</t>
  </si>
  <si>
    <t>Interest (2 mos. Average use)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</si>
</sst>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quot;$&quot;#,##0.00"/>
    <numFmt numFmtId="165" formatCode="0.0"/>
    <numFmt numFmtId="166" formatCode="&quot;$&quot;#,##0"/>
    <numFmt numFmtId="167" formatCode="_(* #,##0_);_(* \(#,##0\);_(* &quot;-&quot;??_);_(@_)"/>
    <numFmt numFmtId="168" formatCode="0.0%"/>
    <numFmt numFmtId="169" formatCode="0.00000"/>
    <numFmt numFmtId="170" formatCode="0.0000"/>
  </numFmts>
  <fonts count="60" x14ac:knownFonts="1">
    <font>
      <sz val="11"/>
      <color theme="1"/>
      <name val="Calibri"/>
      <family val="2"/>
      <scheme val="minor"/>
    </font>
    <font>
      <sz val="12"/>
      <name val="Arial"/>
      <family val="2"/>
    </font>
    <font>
      <b/>
      <u/>
      <sz val="10"/>
      <name val="Arial"/>
      <family val="2"/>
    </font>
    <font>
      <sz val="10"/>
      <name val="Arial"/>
      <family val="2"/>
    </font>
    <font>
      <b/>
      <sz val="10"/>
      <name val="Arial"/>
      <family val="2"/>
    </font>
    <font>
      <sz val="9"/>
      <color indexed="81"/>
      <name val="Tahoma"/>
      <family val="2"/>
    </font>
    <font>
      <b/>
      <sz val="9"/>
      <color indexed="81"/>
      <name val="Tahoma"/>
      <family val="2"/>
    </font>
    <font>
      <u/>
      <sz val="10"/>
      <color indexed="12"/>
      <name val="Arial"/>
      <family val="2"/>
    </font>
    <font>
      <b/>
      <sz val="12"/>
      <name val="Times New Roman"/>
      <family val="1"/>
    </font>
    <font>
      <sz val="12"/>
      <name val="Times New Roman"/>
      <family val="1"/>
    </font>
    <font>
      <i/>
      <sz val="12"/>
      <name val="Times New Roman"/>
      <family val="1"/>
    </font>
    <font>
      <vertAlign val="superscript"/>
      <sz val="10"/>
      <name val="Arial"/>
      <family val="2"/>
    </font>
    <font>
      <vertAlign val="superscript"/>
      <sz val="11"/>
      <color indexed="8"/>
      <name val="Calibri"/>
      <family val="2"/>
    </font>
    <font>
      <u/>
      <sz val="12"/>
      <name val="Arial"/>
      <family val="2"/>
    </font>
    <font>
      <b/>
      <sz val="12"/>
      <name val="Arial"/>
      <family val="2"/>
    </font>
    <font>
      <b/>
      <u/>
      <sz val="12"/>
      <name val="Arial"/>
      <family val="2"/>
    </font>
    <font>
      <sz val="11"/>
      <color theme="1"/>
      <name val="Calibri"/>
      <family val="2"/>
      <scheme val="minor"/>
    </font>
    <font>
      <i/>
      <sz val="11"/>
      <color rgb="FF7F7F7F"/>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0070C0"/>
      <name val="Arial"/>
      <family val="2"/>
    </font>
    <font>
      <b/>
      <sz val="10"/>
      <color theme="5" tint="-0.499984740745262"/>
      <name val="Arial"/>
      <family val="2"/>
    </font>
    <font>
      <sz val="11"/>
      <color theme="5" tint="-0.499984740745262"/>
      <name val="Calibri"/>
      <family val="2"/>
      <scheme val="minor"/>
    </font>
    <font>
      <sz val="12"/>
      <color rgb="FFFF0000"/>
      <name val="Arial"/>
      <family val="2"/>
    </font>
    <font>
      <i/>
      <sz val="11"/>
      <name val="Calibri"/>
      <family val="2"/>
      <scheme val="minor"/>
    </font>
    <font>
      <b/>
      <sz val="11"/>
      <color theme="5" tint="-0.499984740745262"/>
      <name val="Calibri"/>
      <family val="2"/>
      <scheme val="minor"/>
    </font>
    <font>
      <b/>
      <sz val="12"/>
      <color theme="1"/>
      <name val="Calibri"/>
      <family val="2"/>
      <scheme val="minor"/>
    </font>
    <font>
      <b/>
      <sz val="12"/>
      <name val="Calibri"/>
      <family val="2"/>
      <scheme val="minor"/>
    </font>
    <font>
      <b/>
      <sz val="10"/>
      <color theme="3"/>
      <name val="Calibri"/>
      <family val="2"/>
      <scheme val="minor"/>
    </font>
    <font>
      <b/>
      <sz val="10"/>
      <name val="Calibri"/>
      <family val="2"/>
      <scheme val="minor"/>
    </font>
    <font>
      <b/>
      <sz val="16"/>
      <name val="Cambria"/>
      <family val="2"/>
      <scheme val="major"/>
    </font>
    <font>
      <sz val="12"/>
      <color theme="5" tint="-0.499984740745262"/>
      <name val="Calibri"/>
      <family val="2"/>
      <scheme val="minor"/>
    </font>
    <font>
      <b/>
      <sz val="12"/>
      <color theme="5" tint="-0.499984740745262"/>
      <name val="Calibri"/>
      <family val="2"/>
      <scheme val="minor"/>
    </font>
    <font>
      <sz val="12"/>
      <color theme="1"/>
      <name val="Calibri"/>
      <family val="2"/>
      <scheme val="minor"/>
    </font>
    <font>
      <b/>
      <u/>
      <sz val="11"/>
      <name val="Calibri"/>
      <family val="2"/>
      <scheme val="minor"/>
    </font>
    <font>
      <b/>
      <sz val="11"/>
      <name val="Calibri"/>
      <family val="2"/>
      <scheme val="minor"/>
    </font>
    <font>
      <sz val="11"/>
      <name val="Calibri"/>
      <family val="2"/>
      <scheme val="minor"/>
    </font>
    <font>
      <sz val="11"/>
      <color rgb="FF0070C0"/>
      <name val="Calibri"/>
      <family val="2"/>
      <scheme val="minor"/>
    </font>
    <font>
      <sz val="12"/>
      <name val="Calibri"/>
      <family val="2"/>
      <scheme val="minor"/>
    </font>
    <font>
      <sz val="11"/>
      <color theme="4" tint="-0.249977111117893"/>
      <name val="Calibri"/>
      <family val="2"/>
      <scheme val="minor"/>
    </font>
    <font>
      <b/>
      <i/>
      <sz val="11"/>
      <color theme="1"/>
      <name val="Calibri"/>
      <family val="2"/>
      <scheme val="minor"/>
    </font>
    <font>
      <b/>
      <i/>
      <sz val="10"/>
      <name val="Calibri"/>
      <family val="2"/>
      <scheme val="minor"/>
    </font>
    <font>
      <sz val="10"/>
      <name val="Calibri"/>
      <family val="2"/>
      <scheme val="minor"/>
    </font>
    <font>
      <b/>
      <sz val="12"/>
      <color rgb="FFFF0000"/>
      <name val="Calibri"/>
      <family val="2"/>
      <scheme val="minor"/>
    </font>
    <font>
      <sz val="10"/>
      <color theme="1"/>
      <name val="Arial Unicode MS"/>
      <family val="2"/>
    </font>
    <font>
      <sz val="12"/>
      <color rgb="FF3F3F76"/>
      <name val="Calibri"/>
      <family val="2"/>
      <scheme val="minor"/>
    </font>
    <font>
      <b/>
      <i/>
      <sz val="12"/>
      <name val="Calibri"/>
      <family val="2"/>
      <scheme val="minor"/>
    </font>
    <font>
      <sz val="12"/>
      <color theme="1"/>
      <name val="Arial"/>
      <family val="2"/>
    </font>
    <font>
      <b/>
      <sz val="14"/>
      <color theme="3"/>
      <name val="Arial"/>
      <family val="2"/>
    </font>
    <font>
      <sz val="9"/>
      <color theme="1"/>
      <name val="Calibri"/>
      <family val="2"/>
      <scheme val="minor"/>
    </font>
    <font>
      <sz val="12"/>
      <color theme="1"/>
      <name val="Times New Roman"/>
      <family val="1"/>
    </font>
    <font>
      <sz val="9"/>
      <color theme="1"/>
      <name val="Arial"/>
      <family val="2"/>
    </font>
    <font>
      <sz val="10"/>
      <color theme="1"/>
      <name val="Arial"/>
      <family val="2"/>
    </font>
    <font>
      <i/>
      <sz val="11"/>
      <color rgb="FFFF0000"/>
      <name val="Calibri"/>
      <family val="2"/>
      <scheme val="minor"/>
    </font>
    <font>
      <b/>
      <sz val="14"/>
      <color theme="3"/>
      <name val="Calibri"/>
      <family val="2"/>
      <scheme val="minor"/>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rgb="FFF2F2F2"/>
      </patternFill>
    </fill>
    <fill>
      <patternFill patternType="solid">
        <fgColor rgb="FFFFCC99"/>
      </patternFill>
    </fill>
    <fill>
      <patternFill patternType="solid">
        <fgColor rgb="FFFFFFCC"/>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CC"/>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right style="thin">
        <color rgb="FF3F3F3F"/>
      </right>
      <top/>
      <bottom style="thin">
        <color rgb="FF3F3F3F"/>
      </bottom>
      <diagonal/>
    </border>
    <border>
      <left style="thin">
        <color rgb="FF3F3F3F"/>
      </left>
      <right/>
      <top/>
      <bottom style="thin">
        <color rgb="FF3F3F3F"/>
      </bottom>
      <diagonal/>
    </border>
    <border>
      <left style="thin">
        <color rgb="FF3F3F3F"/>
      </left>
      <right/>
      <top style="thin">
        <color rgb="FF3F3F3F"/>
      </top>
      <bottom style="thin">
        <color rgb="FF3F3F3F"/>
      </bottom>
      <diagonal/>
    </border>
    <border>
      <left/>
      <right style="thin">
        <color rgb="FF3F3F3F"/>
      </right>
      <top style="thin">
        <color rgb="FF3F3F3F"/>
      </top>
      <bottom/>
      <diagonal/>
    </border>
    <border>
      <left style="thin">
        <color rgb="FF3F3F3F"/>
      </left>
      <right style="thin">
        <color rgb="FF3F3F3F"/>
      </right>
      <top style="thin">
        <color rgb="FF3F3F3F"/>
      </top>
      <bottom/>
      <diagonal/>
    </border>
    <border>
      <left style="thin">
        <color rgb="FF3F3F3F"/>
      </left>
      <right/>
      <top style="thin">
        <color rgb="FF3F3F3F"/>
      </top>
      <bottom/>
      <diagonal/>
    </border>
  </borders>
  <cellStyleXfs count="14">
    <xf numFmtId="0" fontId="0" fillId="0" borderId="0"/>
    <xf numFmtId="43" fontId="16" fillId="0" borderId="0" applyFont="0" applyFill="0" applyBorder="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0" borderId="0" applyNumberFormat="0" applyFill="0" applyBorder="0" applyAlignment="0" applyProtection="0"/>
    <xf numFmtId="0" fontId="7" fillId="0" borderId="0" applyNumberFormat="0" applyFill="0" applyBorder="0" applyAlignment="0" applyProtection="0">
      <alignment vertical="top"/>
      <protection locked="0"/>
    </xf>
    <xf numFmtId="0" fontId="20" fillId="7" borderId="7" applyNumberFormat="0" applyAlignment="0" applyProtection="0"/>
    <xf numFmtId="0" fontId="3" fillId="0" borderId="0"/>
    <xf numFmtId="0" fontId="16" fillId="8" borderId="9" applyNumberFormat="0" applyFont="0" applyAlignment="0" applyProtection="0"/>
    <xf numFmtId="0" fontId="21" fillId="6" borderId="10" applyNumberFormat="0" applyAlignment="0" applyProtection="0"/>
    <xf numFmtId="9" fontId="16" fillId="0" borderId="0" applyFont="0" applyFill="0" applyBorder="0" applyAlignment="0" applyProtection="0"/>
    <xf numFmtId="9" fontId="3" fillId="0" borderId="0" applyFont="0" applyFill="0" applyBorder="0" applyAlignment="0" applyProtection="0"/>
    <xf numFmtId="0" fontId="22" fillId="0" borderId="0" applyNumberFormat="0" applyFill="0" applyBorder="0" applyAlignment="0" applyProtection="0"/>
    <xf numFmtId="0" fontId="24" fillId="0" borderId="0" applyNumberFormat="0" applyFill="0" applyBorder="0" applyAlignment="0" applyProtection="0"/>
  </cellStyleXfs>
  <cellXfs count="410">
    <xf numFmtId="0" fontId="0" fillId="0" borderId="0" xfId="0"/>
    <xf numFmtId="0" fontId="1" fillId="2" borderId="0" xfId="0" applyFont="1" applyFill="1"/>
    <xf numFmtId="0" fontId="1" fillId="2" borderId="0" xfId="0" applyFont="1" applyFill="1" applyAlignment="1">
      <alignment horizontal="right"/>
    </xf>
    <xf numFmtId="0" fontId="1" fillId="2" borderId="0" xfId="0" applyFont="1" applyFill="1" applyAlignment="1">
      <alignment horizontal="center"/>
    </xf>
    <xf numFmtId="0" fontId="1" fillId="2" borderId="0" xfId="0" applyFont="1" applyFill="1" applyAlignment="1">
      <alignment horizontal="center" vertical="center"/>
    </xf>
    <xf numFmtId="0" fontId="1" fillId="3" borderId="0" xfId="0" applyFont="1" applyFill="1" applyAlignment="1">
      <alignment horizontal="center"/>
    </xf>
    <xf numFmtId="0" fontId="0" fillId="9" borderId="0" xfId="0" applyFill="1"/>
    <xf numFmtId="0" fontId="1" fillId="2" borderId="0" xfId="0" applyFont="1" applyFill="1" applyBorder="1" applyAlignment="1">
      <alignment horizontal="center"/>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 vertical="center"/>
    </xf>
    <xf numFmtId="0" fontId="0" fillId="3" borderId="1" xfId="0" applyFill="1" applyBorder="1"/>
    <xf numFmtId="0" fontId="0" fillId="9" borderId="1" xfId="0" applyFill="1" applyBorder="1"/>
    <xf numFmtId="0" fontId="2" fillId="2" borderId="0" xfId="0" applyFont="1" applyFill="1" applyBorder="1"/>
    <xf numFmtId="0" fontId="0" fillId="2" borderId="0" xfId="0" applyFill="1"/>
    <xf numFmtId="0" fontId="0" fillId="2" borderId="0" xfId="0" applyFill="1" applyAlignment="1">
      <alignment horizontal="center" vertical="center"/>
    </xf>
    <xf numFmtId="0" fontId="0" fillId="2" borderId="0" xfId="0" applyFill="1" applyBorder="1"/>
    <xf numFmtId="164" fontId="0" fillId="3" borderId="0" xfId="0" applyNumberFormat="1" applyFill="1" applyBorder="1" applyProtection="1"/>
    <xf numFmtId="0" fontId="0" fillId="9" borderId="0" xfId="0" applyFill="1" applyBorder="1"/>
    <xf numFmtId="0" fontId="0" fillId="2" borderId="0" xfId="0" applyFill="1" applyBorder="1" applyAlignment="1">
      <alignment horizontal="center" vertical="center"/>
    </xf>
    <xf numFmtId="164" fontId="0" fillId="2" borderId="0" xfId="0" applyNumberFormat="1" applyFill="1" applyBorder="1"/>
    <xf numFmtId="164" fontId="0" fillId="2" borderId="0" xfId="0" applyNumberFormat="1" applyFill="1"/>
    <xf numFmtId="164" fontId="0" fillId="3" borderId="0" xfId="0" applyNumberFormat="1" applyFill="1" applyProtection="1"/>
    <xf numFmtId="0" fontId="4" fillId="2" borderId="0" xfId="0" applyFont="1" applyFill="1"/>
    <xf numFmtId="164" fontId="0" fillId="3" borderId="0" xfId="0" applyNumberFormat="1" applyFill="1" applyAlignment="1" applyProtection="1">
      <alignment horizontal="left"/>
    </xf>
    <xf numFmtId="0" fontId="3" fillId="0" borderId="0" xfId="0" applyFont="1" applyProtection="1">
      <protection locked="0"/>
    </xf>
    <xf numFmtId="0" fontId="0" fillId="0" borderId="0" xfId="0" applyProtection="1">
      <protection locked="0"/>
    </xf>
    <xf numFmtId="0" fontId="0" fillId="0" borderId="0" xfId="0" applyAlignment="1" applyProtection="1">
      <alignment horizontal="center" vertical="center"/>
      <protection locked="0"/>
    </xf>
    <xf numFmtId="0" fontId="3" fillId="0" borderId="0" xfId="0" applyFont="1" applyFill="1" applyProtection="1">
      <protection locked="0"/>
    </xf>
    <xf numFmtId="0" fontId="0" fillId="0" borderId="0" xfId="0" applyFill="1" applyProtection="1">
      <protection locked="0"/>
    </xf>
    <xf numFmtId="0" fontId="0" fillId="10" borderId="0" xfId="0" applyFill="1"/>
    <xf numFmtId="0" fontId="3" fillId="10" borderId="0" xfId="0" applyFont="1" applyFill="1" applyProtection="1">
      <protection locked="0"/>
    </xf>
    <xf numFmtId="0" fontId="0" fillId="10" borderId="0" xfId="0" applyFill="1" applyProtection="1">
      <protection locked="0"/>
    </xf>
    <xf numFmtId="0" fontId="0" fillId="10" borderId="0" xfId="0" applyFill="1" applyAlignment="1" applyProtection="1">
      <alignment horizontal="center" vertical="center"/>
      <protection locked="0"/>
    </xf>
    <xf numFmtId="164" fontId="0" fillId="10" borderId="0" xfId="0" applyNumberFormat="1" applyFill="1" applyProtection="1">
      <protection locked="0"/>
    </xf>
    <xf numFmtId="0" fontId="0" fillId="0" borderId="0" xfId="0" applyFill="1"/>
    <xf numFmtId="0" fontId="0" fillId="10" borderId="0" xfId="0" applyFill="1" applyBorder="1"/>
    <xf numFmtId="0" fontId="0" fillId="0" borderId="0" xfId="0" applyAlignment="1">
      <alignment horizontal="center" vertical="center"/>
    </xf>
    <xf numFmtId="0" fontId="0" fillId="0" borderId="0" xfId="0"/>
    <xf numFmtId="0" fontId="0" fillId="0" borderId="0" xfId="0" applyAlignment="1"/>
    <xf numFmtId="167" fontId="16" fillId="0" borderId="0" xfId="1" applyNumberFormat="1" applyFont="1"/>
    <xf numFmtId="0" fontId="0" fillId="0" borderId="0" xfId="0"/>
    <xf numFmtId="164" fontId="25" fillId="0" borderId="0" xfId="0" applyNumberFormat="1" applyFont="1" applyAlignment="1" applyProtection="1">
      <alignment horizontal="center"/>
      <protection locked="0"/>
    </xf>
    <xf numFmtId="164" fontId="23" fillId="3" borderId="0" xfId="0" applyNumberFormat="1" applyFont="1" applyFill="1" applyAlignment="1" applyProtection="1">
      <alignment horizontal="left"/>
    </xf>
    <xf numFmtId="166" fontId="23" fillId="3" borderId="0" xfId="0" applyNumberFormat="1" applyFont="1" applyFill="1" applyAlignment="1" applyProtection="1">
      <alignment horizontal="left"/>
    </xf>
    <xf numFmtId="166" fontId="0" fillId="3" borderId="0" xfId="0" applyNumberFormat="1" applyFill="1" applyProtection="1"/>
    <xf numFmtId="0" fontId="2" fillId="2" borderId="0" xfId="0" applyFont="1" applyFill="1"/>
    <xf numFmtId="0" fontId="19" fillId="0" borderId="0" xfId="4" applyAlignment="1">
      <alignment horizontal="right"/>
    </xf>
    <xf numFmtId="164" fontId="0" fillId="3" borderId="0" xfId="0" applyNumberFormat="1" applyFill="1" applyAlignment="1" applyProtection="1">
      <alignment horizontal="right"/>
    </xf>
    <xf numFmtId="0" fontId="23" fillId="2" borderId="0" xfId="0" applyFont="1" applyFill="1"/>
    <xf numFmtId="2" fontId="0" fillId="0" borderId="0" xfId="0" applyNumberFormat="1" applyAlignment="1" applyProtection="1">
      <alignment horizontal="right" indent="1"/>
      <protection locked="0"/>
    </xf>
    <xf numFmtId="164" fontId="0" fillId="3" borderId="0" xfId="0" applyNumberFormat="1" applyFill="1" applyAlignment="1" applyProtection="1">
      <alignment horizontal="right" indent="2"/>
    </xf>
    <xf numFmtId="0" fontId="23" fillId="9" borderId="0" xfId="0" applyFont="1" applyFill="1"/>
    <xf numFmtId="0" fontId="1" fillId="3" borderId="2" xfId="0" applyFont="1" applyFill="1" applyBorder="1" applyAlignment="1">
      <alignment horizontal="center"/>
    </xf>
    <xf numFmtId="0" fontId="0" fillId="9" borderId="2" xfId="0" applyFill="1" applyBorder="1"/>
    <xf numFmtId="0" fontId="1" fillId="3" borderId="0" xfId="0" applyFont="1" applyFill="1" applyBorder="1" applyAlignment="1">
      <alignment horizontal="center"/>
    </xf>
    <xf numFmtId="0" fontId="26" fillId="2" borderId="1" xfId="0" applyFont="1" applyFill="1" applyBorder="1"/>
    <xf numFmtId="0" fontId="27" fillId="2" borderId="1" xfId="0" applyFont="1" applyFill="1" applyBorder="1"/>
    <xf numFmtId="0" fontId="27" fillId="2" borderId="1" xfId="0" applyFont="1" applyFill="1" applyBorder="1" applyAlignment="1">
      <alignment horizontal="center" vertical="center"/>
    </xf>
    <xf numFmtId="0" fontId="27" fillId="0" borderId="0" xfId="0" applyFont="1"/>
    <xf numFmtId="0" fontId="28" fillId="2" borderId="3" xfId="0" applyFont="1" applyFill="1" applyBorder="1"/>
    <xf numFmtId="0" fontId="29" fillId="0" borderId="0" xfId="2" applyFont="1" applyFill="1"/>
    <xf numFmtId="0" fontId="0" fillId="11" borderId="0" xfId="0" applyFill="1"/>
    <xf numFmtId="0" fontId="0" fillId="2" borderId="0" xfId="0" applyFill="1" applyAlignment="1">
      <alignment horizontal="center"/>
    </xf>
    <xf numFmtId="0" fontId="0" fillId="10" borderId="1" xfId="0" applyFill="1" applyBorder="1"/>
    <xf numFmtId="0" fontId="0" fillId="0" borderId="0" xfId="0"/>
    <xf numFmtId="10" fontId="16" fillId="0" borderId="0" xfId="10" applyNumberFormat="1" applyFont="1" applyAlignment="1">
      <alignment horizontal="center"/>
    </xf>
    <xf numFmtId="10" fontId="16" fillId="12" borderId="0" xfId="10" applyNumberFormat="1" applyFont="1" applyFill="1" applyAlignment="1">
      <alignment horizontal="center"/>
    </xf>
    <xf numFmtId="10" fontId="16" fillId="12" borderId="0" xfId="10" applyNumberFormat="1" applyFont="1" applyFill="1" applyBorder="1" applyAlignment="1">
      <alignment horizontal="center"/>
    </xf>
    <xf numFmtId="10" fontId="16" fillId="12" borderId="1" xfId="10" applyNumberFormat="1" applyFont="1" applyFill="1" applyBorder="1" applyAlignment="1">
      <alignment horizontal="center"/>
    </xf>
    <xf numFmtId="0" fontId="9" fillId="5" borderId="4" xfId="7" applyFont="1" applyFill="1" applyBorder="1" applyAlignment="1">
      <alignment horizontal="center"/>
    </xf>
    <xf numFmtId="169" fontId="9" fillId="0" borderId="3" xfId="7" applyNumberFormat="1" applyFont="1" applyBorder="1"/>
    <xf numFmtId="0" fontId="9" fillId="0" borderId="3" xfId="7" applyFont="1" applyBorder="1" applyAlignment="1">
      <alignment horizontal="center"/>
    </xf>
    <xf numFmtId="168" fontId="9" fillId="5" borderId="3" xfId="7" applyNumberFormat="1" applyFont="1" applyFill="1" applyBorder="1"/>
    <xf numFmtId="166" fontId="0" fillId="3" borderId="0" xfId="0" applyNumberFormat="1" applyFill="1" applyAlignment="1" applyProtection="1">
      <alignment horizontal="right" indent="2"/>
    </xf>
    <xf numFmtId="0" fontId="0" fillId="0" borderId="0" xfId="0"/>
    <xf numFmtId="0" fontId="0" fillId="0" borderId="0" xfId="0"/>
    <xf numFmtId="0" fontId="0" fillId="0" borderId="0" xfId="0"/>
    <xf numFmtId="0" fontId="3" fillId="4" borderId="0" xfId="7" applyFill="1"/>
    <xf numFmtId="0" fontId="3" fillId="4" borderId="0" xfId="7" applyFont="1" applyFill="1"/>
    <xf numFmtId="0" fontId="3" fillId="4" borderId="0" xfId="7" applyFont="1" applyFill="1" applyAlignment="1">
      <alignment horizontal="center"/>
    </xf>
    <xf numFmtId="0" fontId="7" fillId="11" borderId="0" xfId="5" applyFill="1" applyAlignment="1" applyProtection="1"/>
    <xf numFmtId="166" fontId="0" fillId="3" borderId="0" xfId="0" applyNumberFormat="1" applyFill="1" applyAlignment="1">
      <alignment horizontal="center"/>
    </xf>
    <xf numFmtId="0" fontId="0" fillId="9" borderId="0" xfId="0" applyFill="1" applyAlignment="1">
      <alignment horizontal="center"/>
    </xf>
    <xf numFmtId="164" fontId="0" fillId="3" borderId="0" xfId="0" applyNumberFormat="1" applyFill="1" applyAlignment="1">
      <alignment horizontal="center"/>
    </xf>
    <xf numFmtId="166" fontId="30" fillId="3" borderId="1" xfId="0" applyNumberFormat="1" applyFont="1" applyFill="1" applyBorder="1" applyAlignment="1">
      <alignment horizontal="center"/>
    </xf>
    <xf numFmtId="0" fontId="30" fillId="9" borderId="1" xfId="0" applyFont="1" applyFill="1" applyBorder="1" applyAlignment="1">
      <alignment horizontal="center"/>
    </xf>
    <xf numFmtId="166" fontId="23" fillId="3" borderId="0" xfId="0" applyNumberFormat="1" applyFont="1" applyFill="1" applyAlignment="1" applyProtection="1">
      <alignment horizontal="center"/>
    </xf>
    <xf numFmtId="164" fontId="23" fillId="3" borderId="0" xfId="0" applyNumberFormat="1" applyFont="1" applyFill="1" applyAlignment="1" applyProtection="1">
      <alignment horizontal="center"/>
    </xf>
    <xf numFmtId="0" fontId="23" fillId="9" borderId="0" xfId="0" applyFont="1" applyFill="1" applyAlignment="1">
      <alignment horizontal="center"/>
    </xf>
    <xf numFmtId="166" fontId="0" fillId="3" borderId="0" xfId="0" applyNumberFormat="1" applyFill="1" applyAlignment="1" applyProtection="1">
      <alignment horizontal="center"/>
    </xf>
    <xf numFmtId="164" fontId="0" fillId="3" borderId="0" xfId="0" applyNumberFormat="1" applyFill="1" applyAlignment="1" applyProtection="1">
      <alignment horizontal="center"/>
    </xf>
    <xf numFmtId="166" fontId="23" fillId="3" borderId="0" xfId="0" applyNumberFormat="1" applyFont="1" applyFill="1" applyAlignment="1">
      <alignment horizontal="center"/>
    </xf>
    <xf numFmtId="164" fontId="30" fillId="3" borderId="1" xfId="0" applyNumberFormat="1" applyFont="1" applyFill="1" applyBorder="1" applyAlignment="1" applyProtection="1">
      <alignment horizontal="center"/>
    </xf>
    <xf numFmtId="2" fontId="28" fillId="2" borderId="3" xfId="0" applyNumberFormat="1" applyFont="1" applyFill="1" applyBorder="1"/>
    <xf numFmtId="0" fontId="17" fillId="0" borderId="0" xfId="2"/>
    <xf numFmtId="164" fontId="0" fillId="3" borderId="0" xfId="0" applyNumberFormat="1" applyFont="1" applyFill="1" applyAlignment="1" applyProtection="1">
      <alignment horizontal="right"/>
    </xf>
    <xf numFmtId="0" fontId="0" fillId="0" borderId="0" xfId="0" applyAlignment="1">
      <alignment horizontal="center"/>
    </xf>
    <xf numFmtId="43" fontId="16" fillId="2" borderId="0" xfId="1" applyFont="1" applyFill="1" applyAlignment="1">
      <alignment horizontal="center"/>
    </xf>
    <xf numFmtId="167" fontId="16" fillId="11" borderId="0" xfId="1" applyNumberFormat="1" applyFont="1" applyFill="1"/>
    <xf numFmtId="0" fontId="0" fillId="11" borderId="0" xfId="0" applyFill="1" applyAlignment="1">
      <alignment horizontal="center" vertical="center"/>
    </xf>
    <xf numFmtId="0" fontId="0" fillId="11" borderId="0" xfId="0" applyFill="1" applyBorder="1"/>
    <xf numFmtId="167" fontId="16" fillId="11" borderId="0" xfId="1" applyNumberFormat="1" applyFont="1" applyFill="1" applyBorder="1"/>
    <xf numFmtId="0" fontId="0" fillId="11" borderId="0" xfId="0" applyFill="1" applyBorder="1" applyAlignment="1">
      <alignment horizontal="center" vertical="center"/>
    </xf>
    <xf numFmtId="0" fontId="0" fillId="11" borderId="0" xfId="0" applyFont="1" applyFill="1" applyBorder="1"/>
    <xf numFmtId="0" fontId="0" fillId="11" borderId="0" xfId="0" applyFont="1" applyFill="1" applyBorder="1" applyAlignment="1">
      <alignment horizontal="center" vertical="center"/>
    </xf>
    <xf numFmtId="0" fontId="0" fillId="11" borderId="0" xfId="0" applyFont="1" applyFill="1"/>
    <xf numFmtId="0" fontId="0" fillId="11" borderId="0" xfId="0" applyFont="1" applyFill="1" applyAlignment="1">
      <alignment horizontal="center" vertical="center"/>
    </xf>
    <xf numFmtId="0" fontId="0" fillId="0" borderId="0" xfId="0" applyFont="1"/>
    <xf numFmtId="0" fontId="26" fillId="2" borderId="0" xfId="0" applyFont="1" applyFill="1" applyBorder="1"/>
    <xf numFmtId="0" fontId="27" fillId="2" borderId="0" xfId="0" applyFont="1" applyFill="1" applyBorder="1"/>
    <xf numFmtId="0" fontId="27" fillId="2" borderId="0" xfId="0" applyFont="1" applyFill="1" applyBorder="1" applyAlignment="1">
      <alignment horizontal="center" vertical="center"/>
    </xf>
    <xf numFmtId="166" fontId="30" fillId="3" borderId="0" xfId="0" applyNumberFormat="1" applyFont="1" applyFill="1" applyBorder="1" applyAlignment="1">
      <alignment horizontal="center"/>
    </xf>
    <xf numFmtId="0" fontId="30" fillId="9" borderId="0" xfId="0" applyFont="1" applyFill="1" applyBorder="1" applyAlignment="1">
      <alignment horizontal="center"/>
    </xf>
    <xf numFmtId="164" fontId="30" fillId="3" borderId="0" xfId="0" applyNumberFormat="1" applyFont="1" applyFill="1" applyBorder="1" applyAlignment="1">
      <alignment horizontal="center"/>
    </xf>
    <xf numFmtId="0" fontId="26" fillId="11" borderId="2" xfId="0" applyFont="1" applyFill="1" applyBorder="1"/>
    <xf numFmtId="0" fontId="27" fillId="11" borderId="2" xfId="0" applyFont="1" applyFill="1" applyBorder="1"/>
    <xf numFmtId="0" fontId="27" fillId="11" borderId="2" xfId="0" applyFont="1" applyFill="1" applyBorder="1" applyAlignment="1">
      <alignment horizontal="center" vertical="center"/>
    </xf>
    <xf numFmtId="166" fontId="30" fillId="11" borderId="2" xfId="0" applyNumberFormat="1" applyFont="1" applyFill="1" applyBorder="1" applyAlignment="1">
      <alignment horizontal="center"/>
    </xf>
    <xf numFmtId="0" fontId="30" fillId="11" borderId="2" xfId="0" applyFont="1" applyFill="1" applyBorder="1" applyAlignment="1">
      <alignment horizontal="center"/>
    </xf>
    <xf numFmtId="164" fontId="30" fillId="11" borderId="2" xfId="0" applyNumberFormat="1" applyFont="1" applyFill="1" applyBorder="1" applyAlignment="1">
      <alignment horizontal="center"/>
    </xf>
    <xf numFmtId="0" fontId="31" fillId="2" borderId="0" xfId="0" applyFont="1" applyFill="1"/>
    <xf numFmtId="0" fontId="32" fillId="2" borderId="0" xfId="0" applyFont="1" applyFill="1" applyAlignment="1">
      <alignment horizontal="center"/>
    </xf>
    <xf numFmtId="0" fontId="0" fillId="11" borderId="0" xfId="0" applyFill="1" applyAlignment="1">
      <alignment horizontal="center"/>
    </xf>
    <xf numFmtId="10" fontId="16" fillId="11" borderId="0" xfId="10" applyNumberFormat="1" applyFont="1" applyFill="1" applyAlignment="1">
      <alignment horizontal="center"/>
    </xf>
    <xf numFmtId="166" fontId="0" fillId="0" borderId="0" xfId="0" applyNumberFormat="1"/>
    <xf numFmtId="166" fontId="0" fillId="0" borderId="0" xfId="0" applyNumberFormat="1" applyAlignment="1">
      <alignment horizontal="left" indent="2"/>
    </xf>
    <xf numFmtId="0" fontId="33" fillId="0" borderId="0" xfId="4" applyFont="1"/>
    <xf numFmtId="0" fontId="33" fillId="0" borderId="0" xfId="4" applyFont="1" applyAlignment="1">
      <alignment horizontal="center"/>
    </xf>
    <xf numFmtId="0" fontId="34" fillId="11" borderId="10" xfId="9" applyFont="1" applyFill="1"/>
    <xf numFmtId="0" fontId="33" fillId="0" borderId="3" xfId="4" applyFont="1" applyBorder="1" applyAlignment="1">
      <alignment horizontal="left"/>
    </xf>
    <xf numFmtId="0" fontId="34" fillId="11" borderId="11" xfId="9" applyFont="1" applyFill="1" applyBorder="1"/>
    <xf numFmtId="0" fontId="34" fillId="11" borderId="12" xfId="9" applyFont="1" applyFill="1" applyBorder="1"/>
    <xf numFmtId="0" fontId="0" fillId="12" borderId="0" xfId="0" applyFill="1"/>
    <xf numFmtId="0" fontId="18" fillId="0" borderId="8" xfId="3" applyAlignment="1" applyProtection="1">
      <alignment horizontal="left" wrapText="1"/>
      <protection locked="0"/>
    </xf>
    <xf numFmtId="0" fontId="35" fillId="11" borderId="0" xfId="12" applyFont="1" applyFill="1" applyAlignment="1">
      <alignment horizontal="center"/>
    </xf>
    <xf numFmtId="0" fontId="36" fillId="11" borderId="0" xfId="0" applyFont="1" applyFill="1" applyBorder="1"/>
    <xf numFmtId="0" fontId="36" fillId="11" borderId="0" xfId="0" applyFont="1" applyFill="1" applyBorder="1" applyAlignment="1">
      <alignment horizontal="center" vertical="center"/>
    </xf>
    <xf numFmtId="166" fontId="37" fillId="11" borderId="0" xfId="0" applyNumberFormat="1" applyFont="1" applyFill="1" applyBorder="1" applyAlignment="1">
      <alignment horizontal="center"/>
    </xf>
    <xf numFmtId="0" fontId="37" fillId="11" borderId="0" xfId="0" applyFont="1" applyFill="1" applyBorder="1" applyAlignment="1">
      <alignment horizontal="center"/>
    </xf>
    <xf numFmtId="164" fontId="37" fillId="11" borderId="0" xfId="0" applyNumberFormat="1" applyFont="1" applyFill="1" applyBorder="1" applyAlignment="1">
      <alignment horizontal="center"/>
    </xf>
    <xf numFmtId="0" fontId="38" fillId="11" borderId="1" xfId="0" applyFont="1" applyFill="1" applyBorder="1"/>
    <xf numFmtId="167" fontId="38" fillId="11" borderId="1" xfId="1" applyNumberFormat="1" applyFont="1" applyFill="1" applyBorder="1"/>
    <xf numFmtId="0" fontId="38" fillId="11" borderId="1" xfId="0" applyFont="1" applyFill="1" applyBorder="1" applyAlignment="1">
      <alignment horizontal="center" vertical="center"/>
    </xf>
    <xf numFmtId="0" fontId="0" fillId="2" borderId="0" xfId="0" applyFont="1" applyFill="1"/>
    <xf numFmtId="0" fontId="0" fillId="2" borderId="0" xfId="0" applyFont="1" applyFill="1" applyAlignment="1">
      <alignment horizontal="center" vertical="center"/>
    </xf>
    <xf numFmtId="0" fontId="0" fillId="10" borderId="0" xfId="0" applyFont="1" applyFill="1"/>
    <xf numFmtId="164" fontId="0" fillId="2" borderId="0" xfId="0" applyNumberFormat="1" applyFont="1" applyFill="1"/>
    <xf numFmtId="164" fontId="0" fillId="3" borderId="0" xfId="0" applyNumberFormat="1" applyFont="1" applyFill="1" applyProtection="1"/>
    <xf numFmtId="0" fontId="0" fillId="9" borderId="0" xfId="0" applyFont="1" applyFill="1"/>
    <xf numFmtId="0" fontId="0" fillId="0" borderId="0" xfId="0" applyFont="1" applyAlignment="1" applyProtection="1">
      <alignment horizontal="center" vertical="center"/>
      <protection locked="0"/>
    </xf>
    <xf numFmtId="166" fontId="0" fillId="12" borderId="0" xfId="0" applyNumberFormat="1" applyFont="1" applyFill="1"/>
    <xf numFmtId="0" fontId="0" fillId="0" borderId="0" xfId="0" applyFont="1" applyProtection="1">
      <protection locked="0"/>
    </xf>
    <xf numFmtId="166" fontId="0" fillId="0" borderId="0" xfId="0" applyNumberFormat="1" applyFont="1" applyProtection="1">
      <protection locked="0"/>
    </xf>
    <xf numFmtId="0" fontId="0" fillId="0" borderId="0" xfId="0" applyFont="1" applyFill="1" applyProtection="1">
      <protection locked="0"/>
    </xf>
    <xf numFmtId="0" fontId="0" fillId="0" borderId="0" xfId="0" applyFont="1" applyAlignment="1">
      <alignment horizontal="left" vertical="center"/>
    </xf>
    <xf numFmtId="170" fontId="0" fillId="12" borderId="0" xfId="0" applyNumberFormat="1" applyFont="1" applyFill="1" applyAlignment="1">
      <alignment horizontal="right"/>
    </xf>
    <xf numFmtId="170" fontId="0" fillId="12" borderId="0" xfId="0" applyNumberFormat="1" applyFont="1" applyFill="1"/>
    <xf numFmtId="0" fontId="0" fillId="10" borderId="0" xfId="0" applyFont="1" applyFill="1" applyAlignment="1" applyProtection="1">
      <alignment horizontal="center" vertical="center"/>
      <protection locked="0"/>
    </xf>
    <xf numFmtId="0" fontId="0" fillId="2" borderId="1" xfId="0" applyFont="1" applyFill="1" applyBorder="1"/>
    <xf numFmtId="0" fontId="0" fillId="2" borderId="1" xfId="0" applyFont="1" applyFill="1" applyBorder="1" applyAlignment="1">
      <alignment horizontal="center" vertical="center"/>
    </xf>
    <xf numFmtId="0" fontId="0" fillId="3" borderId="1" xfId="0" applyFont="1" applyFill="1" applyBorder="1"/>
    <xf numFmtId="0" fontId="0" fillId="9" borderId="1" xfId="0" applyFont="1" applyFill="1" applyBorder="1"/>
    <xf numFmtId="0" fontId="39" fillId="2" borderId="0" xfId="0" applyFont="1" applyFill="1" applyBorder="1"/>
    <xf numFmtId="0" fontId="40" fillId="2" borderId="0" xfId="0" applyFont="1" applyFill="1"/>
    <xf numFmtId="0" fontId="41" fillId="0" borderId="0" xfId="0" applyFont="1" applyProtection="1">
      <protection locked="0"/>
    </xf>
    <xf numFmtId="166" fontId="42" fillId="0" borderId="0" xfId="0" applyNumberFormat="1" applyFont="1" applyProtection="1">
      <protection locked="0"/>
    </xf>
    <xf numFmtId="0" fontId="41" fillId="0" borderId="0" xfId="0" applyFont="1" applyFill="1" applyProtection="1">
      <protection locked="0"/>
    </xf>
    <xf numFmtId="0" fontId="41" fillId="0" borderId="0" xfId="0" applyFont="1" applyAlignment="1" applyProtection="1">
      <alignment horizontal="center" vertical="center"/>
      <protection locked="0"/>
    </xf>
    <xf numFmtId="164" fontId="42" fillId="10" borderId="0" xfId="0" applyNumberFormat="1" applyFont="1" applyFill="1" applyProtection="1">
      <protection locked="0"/>
    </xf>
    <xf numFmtId="0" fontId="43" fillId="2" borderId="2" xfId="0" applyFont="1" applyFill="1" applyBorder="1"/>
    <xf numFmtId="0" fontId="43" fillId="2" borderId="2" xfId="0" applyFont="1" applyFill="1" applyBorder="1" applyAlignment="1">
      <alignment horizontal="center"/>
    </xf>
    <xf numFmtId="0" fontId="43" fillId="2" borderId="2" xfId="0" applyFont="1" applyFill="1" applyBorder="1" applyAlignment="1">
      <alignment horizontal="center" vertical="center"/>
    </xf>
    <xf numFmtId="0" fontId="43" fillId="3" borderId="2" xfId="0" applyFont="1" applyFill="1" applyBorder="1" applyAlignment="1">
      <alignment horizontal="center"/>
    </xf>
    <xf numFmtId="0" fontId="38" fillId="9" borderId="2" xfId="0" applyFont="1" applyFill="1" applyBorder="1"/>
    <xf numFmtId="9" fontId="43" fillId="3" borderId="2" xfId="10" applyFont="1" applyFill="1" applyBorder="1" applyAlignment="1">
      <alignment horizontal="center"/>
    </xf>
    <xf numFmtId="0" fontId="38" fillId="0" borderId="0" xfId="0" applyFont="1"/>
    <xf numFmtId="0" fontId="43" fillId="2" borderId="0" xfId="0" applyFont="1" applyFill="1" applyBorder="1" applyAlignment="1">
      <alignment horizontal="center"/>
    </xf>
    <xf numFmtId="0" fontId="43" fillId="2" borderId="0" xfId="0" applyFont="1" applyFill="1" applyBorder="1"/>
    <xf numFmtId="0" fontId="43" fillId="2" borderId="0" xfId="0" applyFont="1" applyFill="1" applyBorder="1" applyAlignment="1">
      <alignment horizontal="center" vertical="center"/>
    </xf>
    <xf numFmtId="0" fontId="43" fillId="3" borderId="0" xfId="0" applyFont="1" applyFill="1" applyBorder="1" applyAlignment="1">
      <alignment horizontal="center"/>
    </xf>
    <xf numFmtId="0" fontId="38" fillId="9" borderId="0" xfId="0" applyFont="1" applyFill="1" applyBorder="1"/>
    <xf numFmtId="9" fontId="43" fillId="3" borderId="0" xfId="10" applyFont="1" applyFill="1" applyBorder="1" applyAlignment="1">
      <alignment horizontal="center"/>
    </xf>
    <xf numFmtId="0" fontId="38" fillId="2" borderId="1" xfId="0" applyFont="1" applyFill="1" applyBorder="1" applyAlignment="1">
      <alignment horizontal="center"/>
    </xf>
    <xf numFmtId="0" fontId="38" fillId="2" borderId="1" xfId="0" applyFont="1" applyFill="1" applyBorder="1"/>
    <xf numFmtId="0" fontId="38" fillId="2" borderId="1" xfId="0" applyFont="1" applyFill="1" applyBorder="1" applyAlignment="1">
      <alignment horizontal="center" vertical="center"/>
    </xf>
    <xf numFmtId="0" fontId="38" fillId="3" borderId="1" xfId="0" applyFont="1" applyFill="1" applyBorder="1"/>
    <xf numFmtId="0" fontId="38" fillId="9" borderId="1" xfId="0" applyFont="1" applyFill="1" applyBorder="1"/>
    <xf numFmtId="9" fontId="43" fillId="3" borderId="1" xfId="10" applyFont="1" applyFill="1" applyBorder="1" applyAlignment="1">
      <alignment horizontal="center"/>
    </xf>
    <xf numFmtId="2" fontId="0" fillId="0" borderId="0" xfId="0" applyNumberFormat="1" applyFont="1" applyProtection="1">
      <protection locked="0"/>
    </xf>
    <xf numFmtId="164" fontId="44" fillId="0" borderId="0" xfId="0" applyNumberFormat="1" applyFont="1" applyFill="1" applyAlignment="1">
      <alignment horizontal="center"/>
    </xf>
    <xf numFmtId="164" fontId="42" fillId="0" borderId="0" xfId="0" applyNumberFormat="1" applyFont="1" applyAlignment="1" applyProtection="1">
      <alignment horizontal="center"/>
      <protection locked="0"/>
    </xf>
    <xf numFmtId="166" fontId="23" fillId="0" borderId="0" xfId="0" applyNumberFormat="1" applyFont="1"/>
    <xf numFmtId="0" fontId="23" fillId="0" borderId="0" xfId="0" applyFont="1"/>
    <xf numFmtId="170" fontId="0" fillId="12" borderId="0" xfId="0" applyNumberFormat="1" applyFont="1" applyFill="1" applyAlignment="1">
      <alignment vertical="center"/>
    </xf>
    <xf numFmtId="170" fontId="45" fillId="12" borderId="0" xfId="0" applyNumberFormat="1" applyFont="1" applyFill="1" applyAlignment="1">
      <alignment horizontal="right"/>
    </xf>
    <xf numFmtId="166" fontId="23" fillId="12" borderId="0" xfId="0" applyNumberFormat="1" applyFont="1" applyFill="1"/>
    <xf numFmtId="166" fontId="0" fillId="12" borderId="0" xfId="0" applyNumberFormat="1" applyFont="1" applyFill="1" applyBorder="1"/>
    <xf numFmtId="166" fontId="0" fillId="3" borderId="0" xfId="0" applyNumberFormat="1" applyFont="1" applyFill="1"/>
    <xf numFmtId="166" fontId="43" fillId="3" borderId="2" xfId="0" applyNumberFormat="1" applyFont="1" applyFill="1" applyBorder="1" applyAlignment="1">
      <alignment horizontal="center"/>
    </xf>
    <xf numFmtId="166" fontId="43" fillId="3" borderId="0" xfId="0" applyNumberFormat="1" applyFont="1" applyFill="1" applyBorder="1" applyAlignment="1">
      <alignment horizontal="center"/>
    </xf>
    <xf numFmtId="166" fontId="43" fillId="3" borderId="1" xfId="0" applyNumberFormat="1" applyFont="1" applyFill="1" applyBorder="1" applyAlignment="1">
      <alignment horizontal="center"/>
    </xf>
    <xf numFmtId="166" fontId="0" fillId="12" borderId="1" xfId="0" applyNumberFormat="1" applyFont="1" applyFill="1" applyBorder="1"/>
    <xf numFmtId="166" fontId="0" fillId="11" borderId="0" xfId="0" applyNumberFormat="1" applyFont="1" applyFill="1"/>
    <xf numFmtId="166" fontId="0" fillId="11" borderId="0" xfId="0" applyNumberFormat="1" applyFill="1"/>
    <xf numFmtId="166" fontId="0" fillId="3" borderId="0" xfId="0" applyNumberFormat="1" applyFont="1" applyFill="1" applyAlignment="1" applyProtection="1">
      <alignment horizontal="left"/>
    </xf>
    <xf numFmtId="166" fontId="0" fillId="3" borderId="0" xfId="0" applyNumberFormat="1" applyFont="1" applyFill="1" applyProtection="1"/>
    <xf numFmtId="166" fontId="0" fillId="3" borderId="0" xfId="0" applyNumberFormat="1" applyFont="1" applyFill="1" applyAlignment="1">
      <alignment horizontal="left"/>
    </xf>
    <xf numFmtId="0" fontId="46" fillId="11" borderId="13" xfId="9" applyFont="1" applyFill="1" applyBorder="1" applyAlignment="1">
      <alignment horizontal="left"/>
    </xf>
    <xf numFmtId="0" fontId="34" fillId="11" borderId="14" xfId="9" applyFont="1" applyFill="1" applyBorder="1"/>
    <xf numFmtId="0" fontId="46" fillId="0" borderId="11" xfId="9" applyFont="1" applyFill="1" applyBorder="1" applyAlignment="1">
      <alignment horizontal="left"/>
    </xf>
    <xf numFmtId="0" fontId="34" fillId="0" borderId="10" xfId="9" applyFont="1" applyFill="1"/>
    <xf numFmtId="0" fontId="34" fillId="0" borderId="15" xfId="9" applyFont="1" applyFill="1" applyBorder="1"/>
    <xf numFmtId="0" fontId="34" fillId="0" borderId="11" xfId="9" applyFont="1" applyFill="1" applyBorder="1"/>
    <xf numFmtId="166" fontId="47" fillId="0" borderId="10" xfId="9" applyNumberFormat="1" applyFont="1" applyFill="1"/>
    <xf numFmtId="166" fontId="47" fillId="0" borderId="15" xfId="9" applyNumberFormat="1" applyFont="1" applyFill="1" applyBorder="1"/>
    <xf numFmtId="0" fontId="34" fillId="0" borderId="11" xfId="9" applyFont="1" applyFill="1" applyBorder="1" applyAlignment="1">
      <alignment horizontal="center"/>
    </xf>
    <xf numFmtId="0" fontId="46" fillId="0" borderId="11" xfId="9" applyFont="1" applyFill="1" applyBorder="1"/>
    <xf numFmtId="0" fontId="47" fillId="0" borderId="10" xfId="9" applyFont="1" applyFill="1"/>
    <xf numFmtId="0" fontId="47" fillId="0" borderId="15" xfId="9" applyFont="1" applyFill="1" applyBorder="1"/>
    <xf numFmtId="166" fontId="34" fillId="0" borderId="15" xfId="9" applyNumberFormat="1" applyFont="1" applyFill="1" applyBorder="1"/>
    <xf numFmtId="0" fontId="34" fillId="0" borderId="16" xfId="9" applyFont="1" applyFill="1" applyBorder="1" applyAlignment="1">
      <alignment horizontal="center"/>
    </xf>
    <xf numFmtId="166" fontId="34" fillId="0" borderId="17" xfId="9" applyNumberFormat="1" applyFont="1" applyFill="1" applyBorder="1"/>
    <xf numFmtId="166" fontId="34" fillId="0" borderId="18" xfId="9" applyNumberFormat="1" applyFont="1" applyFill="1" applyBorder="1"/>
    <xf numFmtId="1" fontId="47" fillId="0" borderId="10" xfId="9" applyNumberFormat="1" applyFont="1" applyFill="1" applyAlignment="1">
      <alignment horizontal="center"/>
    </xf>
    <xf numFmtId="0" fontId="34" fillId="0" borderId="13" xfId="9" applyFont="1" applyFill="1" applyBorder="1"/>
    <xf numFmtId="1" fontId="47" fillId="0" borderId="15" xfId="9" applyNumberFormat="1" applyFont="1" applyFill="1" applyBorder="1" applyAlignment="1">
      <alignment horizontal="center"/>
    </xf>
    <xf numFmtId="0" fontId="34" fillId="0" borderId="16" xfId="9" applyFont="1" applyFill="1" applyBorder="1"/>
    <xf numFmtId="1" fontId="47" fillId="0" borderId="17" xfId="9" applyNumberFormat="1" applyFont="1" applyFill="1" applyBorder="1" applyAlignment="1">
      <alignment horizontal="center"/>
    </xf>
    <xf numFmtId="1" fontId="47" fillId="0" borderId="18" xfId="9" applyNumberFormat="1" applyFont="1" applyFill="1" applyBorder="1" applyAlignment="1">
      <alignment horizontal="center"/>
    </xf>
    <xf numFmtId="0" fontId="0" fillId="12" borderId="0" xfId="0" applyFill="1"/>
    <xf numFmtId="164" fontId="0" fillId="12" borderId="0" xfId="0" applyNumberFormat="1" applyFont="1" applyFill="1"/>
    <xf numFmtId="0" fontId="0" fillId="0" borderId="0" xfId="0" applyFont="1" applyAlignment="1" applyProtection="1">
      <alignment horizontal="center"/>
      <protection locked="0"/>
    </xf>
    <xf numFmtId="167" fontId="16" fillId="2" borderId="0" xfId="1" applyNumberFormat="1" applyFont="1" applyFill="1" applyBorder="1" applyAlignment="1">
      <alignment horizontal="center"/>
    </xf>
    <xf numFmtId="167" fontId="16" fillId="2" borderId="0" xfId="1" applyNumberFormat="1" applyFont="1" applyFill="1" applyAlignment="1">
      <alignment horizontal="center"/>
    </xf>
    <xf numFmtId="167" fontId="16" fillId="0" borderId="0" xfId="1" applyNumberFormat="1" applyFont="1" applyAlignment="1" applyProtection="1">
      <alignment horizontal="center"/>
      <protection locked="0"/>
    </xf>
    <xf numFmtId="167" fontId="16" fillId="10" borderId="0" xfId="1" applyNumberFormat="1" applyFont="1" applyFill="1" applyAlignment="1">
      <alignment horizontal="center"/>
    </xf>
    <xf numFmtId="167" fontId="16" fillId="10" borderId="0" xfId="1" applyNumberFormat="1" applyFont="1" applyFill="1" applyAlignment="1" applyProtection="1">
      <alignment horizontal="center"/>
      <protection locked="0"/>
    </xf>
    <xf numFmtId="0" fontId="0" fillId="2" borderId="0" xfId="0" applyFont="1" applyFill="1" applyAlignment="1">
      <alignment horizontal="center"/>
    </xf>
    <xf numFmtId="167" fontId="16" fillId="2" borderId="1" xfId="1" applyNumberFormat="1" applyFont="1" applyFill="1" applyBorder="1" applyAlignment="1">
      <alignment horizontal="center"/>
    </xf>
    <xf numFmtId="167" fontId="16" fillId="11" borderId="0" xfId="1" applyNumberFormat="1" applyFont="1" applyFill="1" applyAlignment="1">
      <alignment horizontal="center"/>
    </xf>
    <xf numFmtId="167" fontId="16" fillId="0" borderId="0" xfId="1" applyNumberFormat="1" applyFont="1" applyAlignment="1">
      <alignment horizontal="center"/>
    </xf>
    <xf numFmtId="1" fontId="16" fillId="0" borderId="0" xfId="1" applyNumberFormat="1" applyFont="1" applyAlignment="1" applyProtection="1">
      <alignment horizontal="center"/>
      <protection locked="0"/>
    </xf>
    <xf numFmtId="164" fontId="0" fillId="3" borderId="0" xfId="0" applyNumberFormat="1" applyFill="1" applyAlignment="1">
      <alignment horizontal="left"/>
    </xf>
    <xf numFmtId="9" fontId="16" fillId="12" borderId="0" xfId="10" applyFont="1" applyFill="1" applyAlignment="1">
      <alignment horizontal="center"/>
    </xf>
    <xf numFmtId="166" fontId="25" fillId="0" borderId="0" xfId="0" applyNumberFormat="1" applyFont="1" applyProtection="1">
      <protection locked="0"/>
    </xf>
    <xf numFmtId="164" fontId="0" fillId="3" borderId="0" xfId="0" applyNumberFormat="1" applyFill="1"/>
    <xf numFmtId="166" fontId="0" fillId="12" borderId="0" xfId="0" applyNumberFormat="1" applyFill="1"/>
    <xf numFmtId="170" fontId="43" fillId="3" borderId="2" xfId="0" applyNumberFormat="1" applyFont="1" applyFill="1" applyBorder="1" applyAlignment="1">
      <alignment horizontal="center"/>
    </xf>
    <xf numFmtId="170" fontId="43" fillId="3" borderId="0" xfId="0" applyNumberFormat="1" applyFont="1" applyFill="1" applyBorder="1" applyAlignment="1">
      <alignment horizontal="center"/>
    </xf>
    <xf numFmtId="170" fontId="43" fillId="3" borderId="1" xfId="0" applyNumberFormat="1" applyFont="1" applyFill="1" applyBorder="1" applyAlignment="1">
      <alignment horizontal="center"/>
    </xf>
    <xf numFmtId="170" fontId="0" fillId="12" borderId="0" xfId="0" applyNumberFormat="1" applyFill="1"/>
    <xf numFmtId="170" fontId="0" fillId="11" borderId="0" xfId="0" applyNumberFormat="1" applyFill="1"/>
    <xf numFmtId="170" fontId="0" fillId="0" borderId="0" xfId="0" applyNumberFormat="1"/>
    <xf numFmtId="0" fontId="0" fillId="11" borderId="0" xfId="0" applyFill="1" applyAlignment="1"/>
    <xf numFmtId="170" fontId="0" fillId="0" borderId="0" xfId="0" applyNumberFormat="1" applyAlignment="1">
      <alignment horizontal="center"/>
    </xf>
    <xf numFmtId="0" fontId="3" fillId="10" borderId="0" xfId="7" applyFill="1" applyBorder="1"/>
    <xf numFmtId="0" fontId="3" fillId="10" borderId="1" xfId="7" applyFill="1" applyBorder="1"/>
    <xf numFmtId="0" fontId="0" fillId="0" borderId="0" xfId="0" applyBorder="1"/>
    <xf numFmtId="166" fontId="43" fillId="0" borderId="0" xfId="0" applyNumberFormat="1" applyFont="1" applyFill="1" applyBorder="1" applyAlignment="1">
      <alignment vertical="center"/>
    </xf>
    <xf numFmtId="0" fontId="0" fillId="10" borderId="0" xfId="0" applyFill="1" applyBorder="1" applyAlignment="1">
      <alignment vertical="center"/>
    </xf>
    <xf numFmtId="164" fontId="48" fillId="0" borderId="0" xfId="1" applyNumberFormat="1" applyFont="1" applyFill="1" applyBorder="1" applyAlignment="1">
      <alignment horizontal="center" vertical="center"/>
    </xf>
    <xf numFmtId="0" fontId="0" fillId="0" borderId="0" xfId="0" applyAlignment="1">
      <alignment vertical="center"/>
    </xf>
    <xf numFmtId="166" fontId="43" fillId="0" borderId="0" xfId="0" applyNumberFormat="1" applyFont="1" applyFill="1" applyBorder="1" applyAlignment="1">
      <alignment horizontal="center" vertical="center"/>
    </xf>
    <xf numFmtId="0" fontId="3" fillId="10" borderId="0" xfId="7" applyFill="1" applyBorder="1" applyAlignment="1">
      <alignment vertical="center"/>
    </xf>
    <xf numFmtId="0" fontId="0" fillId="0" borderId="0" xfId="0" applyBorder="1" applyAlignment="1">
      <alignment vertical="center"/>
    </xf>
    <xf numFmtId="4" fontId="48" fillId="0" borderId="0" xfId="1" applyNumberFormat="1" applyFont="1" applyFill="1" applyBorder="1" applyAlignment="1">
      <alignment horizontal="center" vertical="center"/>
    </xf>
    <xf numFmtId="164" fontId="23" fillId="3" borderId="0" xfId="0" applyNumberFormat="1" applyFont="1" applyFill="1" applyAlignment="1">
      <alignment horizontal="center"/>
    </xf>
    <xf numFmtId="164" fontId="23" fillId="9" borderId="0" xfId="0" applyNumberFormat="1" applyFont="1" applyFill="1" applyAlignment="1">
      <alignment horizontal="center"/>
    </xf>
    <xf numFmtId="170" fontId="18" fillId="0" borderId="8" xfId="3" applyNumberFormat="1" applyAlignment="1" applyProtection="1">
      <alignment horizontal="left" wrapText="1"/>
      <protection locked="0"/>
    </xf>
    <xf numFmtId="170" fontId="49" fillId="12" borderId="0" xfId="0" applyNumberFormat="1" applyFont="1" applyFill="1" applyAlignment="1">
      <alignment vertical="center"/>
    </xf>
    <xf numFmtId="170" fontId="0" fillId="12" borderId="0" xfId="0" applyNumberFormat="1" applyFont="1" applyFill="1" applyBorder="1"/>
    <xf numFmtId="170" fontId="0" fillId="12" borderId="1" xfId="0" applyNumberFormat="1" applyFont="1" applyFill="1" applyBorder="1"/>
    <xf numFmtId="170" fontId="0" fillId="11" borderId="0" xfId="0" applyNumberFormat="1" applyFont="1" applyFill="1"/>
    <xf numFmtId="49" fontId="38" fillId="2" borderId="0" xfId="0" applyNumberFormat="1" applyFont="1" applyFill="1" applyAlignment="1">
      <alignment horizontal="center"/>
    </xf>
    <xf numFmtId="9" fontId="50" fillId="7" borderId="0" xfId="6" applyNumberFormat="1" applyFont="1" applyBorder="1" applyAlignment="1" applyProtection="1">
      <alignment horizontal="center"/>
      <protection locked="0"/>
    </xf>
    <xf numFmtId="0" fontId="38" fillId="2" borderId="0" xfId="0" applyFont="1" applyFill="1" applyBorder="1"/>
    <xf numFmtId="165" fontId="38" fillId="2" borderId="0" xfId="0" applyNumberFormat="1" applyFont="1" applyFill="1" applyAlignment="1">
      <alignment horizontal="center" vertical="center"/>
    </xf>
    <xf numFmtId="0" fontId="38" fillId="2" borderId="0" xfId="0" applyFont="1" applyFill="1" applyAlignment="1">
      <alignment horizontal="center" vertical="center"/>
    </xf>
    <xf numFmtId="0" fontId="38" fillId="2" borderId="0" xfId="0" applyFont="1" applyFill="1"/>
    <xf numFmtId="0" fontId="38" fillId="10" borderId="0" xfId="8" applyFont="1" applyFill="1" applyBorder="1" applyAlignment="1">
      <alignment horizontal="center" vertical="center"/>
    </xf>
    <xf numFmtId="0" fontId="51" fillId="2" borderId="0" xfId="2" applyFont="1" applyFill="1"/>
    <xf numFmtId="0" fontId="38" fillId="10" borderId="0" xfId="0" applyFont="1" applyFill="1" applyBorder="1" applyAlignment="1">
      <alignment horizontal="center"/>
    </xf>
    <xf numFmtId="0" fontId="13" fillId="2" borderId="0" xfId="0" applyFont="1" applyFill="1" applyAlignment="1">
      <alignment horizontal="center"/>
    </xf>
    <xf numFmtId="164" fontId="31" fillId="12" borderId="1" xfId="8" applyNumberFormat="1" applyFont="1" applyFill="1" applyBorder="1" applyAlignment="1">
      <alignment horizontal="center" vertical="center"/>
    </xf>
    <xf numFmtId="0" fontId="13" fillId="2" borderId="0" xfId="0" applyFont="1" applyFill="1" applyBorder="1" applyAlignment="1">
      <alignment horizontal="center"/>
    </xf>
    <xf numFmtId="164" fontId="38" fillId="2" borderId="0" xfId="0" applyNumberFormat="1" applyFont="1" applyFill="1" applyBorder="1" applyAlignment="1">
      <alignment horizontal="center" vertical="center"/>
    </xf>
    <xf numFmtId="0" fontId="38" fillId="2" borderId="0" xfId="0" applyFont="1" applyFill="1" applyBorder="1" applyAlignment="1">
      <alignment horizontal="center"/>
    </xf>
    <xf numFmtId="0" fontId="38" fillId="2" borderId="0" xfId="0" applyFont="1" applyFill="1" applyBorder="1" applyAlignment="1">
      <alignment horizontal="center" vertical="center"/>
    </xf>
    <xf numFmtId="0" fontId="14" fillId="2" borderId="0" xfId="0" applyFont="1" applyFill="1" applyAlignment="1">
      <alignment horizontal="center"/>
    </xf>
    <xf numFmtId="0" fontId="15" fillId="2" borderId="0" xfId="0" applyFont="1" applyFill="1" applyAlignment="1">
      <alignment horizontal="center"/>
    </xf>
    <xf numFmtId="0" fontId="38" fillId="10" borderId="0" xfId="0" applyFont="1" applyFill="1" applyBorder="1" applyAlignment="1">
      <alignment horizontal="center" vertical="center"/>
    </xf>
    <xf numFmtId="49" fontId="38" fillId="2" borderId="0" xfId="0" applyNumberFormat="1" applyFont="1" applyFill="1" applyBorder="1" applyAlignment="1">
      <alignment horizontal="center"/>
    </xf>
    <xf numFmtId="165" fontId="38" fillId="2" borderId="0" xfId="0" applyNumberFormat="1" applyFont="1" applyFill="1" applyBorder="1" applyAlignment="1">
      <alignment horizontal="center" vertical="center"/>
    </xf>
    <xf numFmtId="0" fontId="1" fillId="11" borderId="0" xfId="0" applyFont="1" applyFill="1" applyBorder="1"/>
    <xf numFmtId="0" fontId="52" fillId="11" borderId="0" xfId="0" applyFont="1" applyFill="1" applyBorder="1"/>
    <xf numFmtId="0" fontId="1" fillId="11" borderId="0" xfId="2" applyFont="1" applyFill="1"/>
    <xf numFmtId="0" fontId="53" fillId="11" borderId="0" xfId="4" applyFont="1" applyFill="1" applyBorder="1"/>
    <xf numFmtId="166" fontId="18" fillId="0" borderId="8" xfId="3" applyNumberFormat="1" applyAlignment="1" applyProtection="1">
      <alignment horizontal="right" wrapText="1"/>
      <protection locked="0"/>
    </xf>
    <xf numFmtId="166" fontId="43" fillId="3" borderId="2" xfId="0" applyNumberFormat="1" applyFont="1" applyFill="1" applyBorder="1" applyAlignment="1">
      <alignment horizontal="right"/>
    </xf>
    <xf numFmtId="166" fontId="43" fillId="3" borderId="0" xfId="0" applyNumberFormat="1" applyFont="1" applyFill="1" applyBorder="1" applyAlignment="1">
      <alignment horizontal="right"/>
    </xf>
    <xf numFmtId="166" fontId="43" fillId="3" borderId="1" xfId="0" applyNumberFormat="1" applyFont="1" applyFill="1" applyBorder="1" applyAlignment="1">
      <alignment horizontal="right"/>
    </xf>
    <xf numFmtId="166" fontId="0" fillId="12" borderId="0" xfId="0" applyNumberFormat="1" applyFill="1" applyAlignment="1">
      <alignment horizontal="right"/>
    </xf>
    <xf numFmtId="166" fontId="0" fillId="12" borderId="0" xfId="0" applyNumberFormat="1" applyFont="1" applyFill="1" applyAlignment="1">
      <alignment horizontal="right"/>
    </xf>
    <xf numFmtId="166" fontId="16" fillId="12" borderId="0" xfId="1" applyNumberFormat="1" applyFont="1" applyFill="1" applyAlignment="1">
      <alignment horizontal="right"/>
    </xf>
    <xf numFmtId="166" fontId="0" fillId="12" borderId="0" xfId="0" applyNumberFormat="1" applyFont="1" applyFill="1" applyBorder="1" applyAlignment="1">
      <alignment horizontal="right"/>
    </xf>
    <xf numFmtId="166" fontId="0" fillId="12" borderId="1" xfId="0" applyNumberFormat="1" applyFont="1" applyFill="1" applyBorder="1" applyAlignment="1">
      <alignment horizontal="right"/>
    </xf>
    <xf numFmtId="166" fontId="0" fillId="11" borderId="0" xfId="0" applyNumberFormat="1" applyFont="1" applyFill="1" applyAlignment="1">
      <alignment horizontal="right"/>
    </xf>
    <xf numFmtId="166" fontId="0" fillId="11" borderId="0" xfId="0" applyNumberFormat="1" applyFill="1" applyAlignment="1">
      <alignment horizontal="right"/>
    </xf>
    <xf numFmtId="166" fontId="0" fillId="0" borderId="0" xfId="0" applyNumberFormat="1" applyAlignment="1">
      <alignment horizontal="right"/>
    </xf>
    <xf numFmtId="10" fontId="16" fillId="0" borderId="0" xfId="10" applyNumberFormat="1" applyFont="1" applyAlignment="1">
      <alignment vertical="center"/>
    </xf>
    <xf numFmtId="10" fontId="0" fillId="0" borderId="0" xfId="0" applyNumberFormat="1" applyAlignment="1">
      <alignment vertical="center"/>
    </xf>
    <xf numFmtId="164" fontId="42" fillId="0" borderId="0" xfId="0" applyNumberFormat="1" applyFont="1" applyProtection="1">
      <protection locked="0"/>
    </xf>
    <xf numFmtId="0" fontId="40" fillId="10" borderId="0" xfId="0" applyFont="1" applyFill="1" applyProtection="1">
      <protection locked="0"/>
    </xf>
    <xf numFmtId="166" fontId="0" fillId="3" borderId="0" xfId="0" applyNumberFormat="1" applyFill="1" applyAlignment="1">
      <alignment horizontal="left"/>
    </xf>
    <xf numFmtId="166" fontId="0" fillId="3" borderId="0" xfId="0" applyNumberFormat="1" applyFill="1"/>
    <xf numFmtId="0" fontId="18" fillId="0" borderId="8" xfId="3" applyAlignment="1" applyProtection="1">
      <alignment horizontal="right" wrapText="1" indent="1"/>
      <protection locked="0"/>
    </xf>
    <xf numFmtId="166" fontId="43" fillId="3" borderId="2" xfId="0" applyNumberFormat="1" applyFont="1" applyFill="1" applyBorder="1" applyAlignment="1">
      <alignment horizontal="right" indent="1"/>
    </xf>
    <xf numFmtId="166" fontId="43" fillId="3" borderId="0" xfId="0" applyNumberFormat="1" applyFont="1" applyFill="1" applyBorder="1" applyAlignment="1">
      <alignment horizontal="right" indent="1"/>
    </xf>
    <xf numFmtId="166" fontId="43" fillId="3" borderId="1" xfId="0" applyNumberFormat="1" applyFont="1" applyFill="1" applyBorder="1" applyAlignment="1">
      <alignment horizontal="right" indent="1"/>
    </xf>
    <xf numFmtId="166" fontId="0" fillId="12" borderId="0" xfId="0" applyNumberFormat="1" applyFill="1" applyAlignment="1">
      <alignment horizontal="right" indent="1"/>
    </xf>
    <xf numFmtId="166" fontId="0" fillId="12" borderId="0" xfId="0" applyNumberFormat="1" applyFont="1" applyFill="1" applyAlignment="1">
      <alignment horizontal="right" indent="1"/>
    </xf>
    <xf numFmtId="166" fontId="42" fillId="12" borderId="0" xfId="0" applyNumberFormat="1" applyFont="1" applyFill="1" applyAlignment="1" applyProtection="1">
      <alignment horizontal="right" indent="1"/>
      <protection locked="0"/>
    </xf>
    <xf numFmtId="0" fontId="0" fillId="12" borderId="0" xfId="0" applyFill="1" applyAlignment="1">
      <alignment horizontal="right" indent="1"/>
    </xf>
    <xf numFmtId="166" fontId="16" fillId="12" borderId="0" xfId="1" applyNumberFormat="1" applyFont="1" applyFill="1" applyAlignment="1">
      <alignment horizontal="right" indent="1"/>
    </xf>
    <xf numFmtId="166" fontId="0" fillId="12" borderId="0" xfId="0" applyNumberFormat="1" applyFont="1" applyFill="1" applyBorder="1" applyAlignment="1">
      <alignment horizontal="right" indent="1"/>
    </xf>
    <xf numFmtId="166" fontId="0" fillId="12" borderId="1" xfId="0" applyNumberFormat="1" applyFont="1" applyFill="1" applyBorder="1" applyAlignment="1">
      <alignment horizontal="right" indent="1"/>
    </xf>
    <xf numFmtId="166" fontId="0" fillId="11" borderId="0" xfId="0" applyNumberFormat="1" applyFont="1" applyFill="1" applyAlignment="1">
      <alignment horizontal="right" indent="1"/>
    </xf>
    <xf numFmtId="166" fontId="0" fillId="11" borderId="0" xfId="0" applyNumberFormat="1" applyFill="1" applyAlignment="1">
      <alignment horizontal="right" indent="1"/>
    </xf>
    <xf numFmtId="166" fontId="0" fillId="0" borderId="0" xfId="0" applyNumberFormat="1" applyAlignment="1">
      <alignment horizontal="right" indent="1"/>
    </xf>
    <xf numFmtId="1" fontId="18" fillId="0" borderId="8" xfId="3" applyNumberFormat="1" applyAlignment="1" applyProtection="1">
      <alignment horizontal="right" wrapText="1" indent="1"/>
      <protection locked="0"/>
    </xf>
    <xf numFmtId="1" fontId="43" fillId="3" borderId="2" xfId="0" applyNumberFormat="1" applyFont="1" applyFill="1" applyBorder="1" applyAlignment="1">
      <alignment horizontal="right" indent="1"/>
    </xf>
    <xf numFmtId="1" fontId="43" fillId="3" borderId="0" xfId="0" applyNumberFormat="1" applyFont="1" applyFill="1" applyBorder="1" applyAlignment="1">
      <alignment horizontal="right" indent="1"/>
    </xf>
    <xf numFmtId="1" fontId="43" fillId="3" borderId="1" xfId="0" applyNumberFormat="1" applyFont="1" applyFill="1" applyBorder="1" applyAlignment="1">
      <alignment horizontal="right" indent="1"/>
    </xf>
    <xf numFmtId="1" fontId="0" fillId="12" borderId="0" xfId="0" applyNumberFormat="1" applyFill="1" applyAlignment="1">
      <alignment horizontal="right" indent="1"/>
    </xf>
    <xf numFmtId="1" fontId="0" fillId="12" borderId="0" xfId="0" applyNumberFormat="1" applyFont="1" applyFill="1" applyAlignment="1">
      <alignment horizontal="right" indent="1"/>
    </xf>
    <xf numFmtId="1" fontId="16" fillId="12" borderId="0" xfId="1" applyNumberFormat="1" applyFont="1" applyFill="1" applyAlignment="1">
      <alignment horizontal="right" indent="1"/>
    </xf>
    <xf numFmtId="1" fontId="0" fillId="12" borderId="0" xfId="0" applyNumberFormat="1" applyFont="1" applyFill="1" applyBorder="1" applyAlignment="1">
      <alignment horizontal="right" indent="1"/>
    </xf>
    <xf numFmtId="1" fontId="0" fillId="12" borderId="1" xfId="0" applyNumberFormat="1" applyFont="1" applyFill="1" applyBorder="1" applyAlignment="1">
      <alignment horizontal="right" indent="1"/>
    </xf>
    <xf numFmtId="1" fontId="0" fillId="11" borderId="0" xfId="0" applyNumberFormat="1" applyFont="1" applyFill="1" applyAlignment="1">
      <alignment horizontal="right" indent="1"/>
    </xf>
    <xf numFmtId="1" fontId="0" fillId="11" borderId="0" xfId="0" applyNumberFormat="1" applyFill="1" applyAlignment="1">
      <alignment horizontal="right" indent="1"/>
    </xf>
    <xf numFmtId="1" fontId="0" fillId="0" borderId="0" xfId="0" applyNumberFormat="1" applyAlignment="1">
      <alignment horizontal="right" indent="1"/>
    </xf>
    <xf numFmtId="166" fontId="43" fillId="3" borderId="0" xfId="0" applyNumberFormat="1" applyFont="1" applyFill="1" applyBorder="1" applyAlignment="1">
      <alignment horizontal="right" indent="3"/>
    </xf>
    <xf numFmtId="166" fontId="43" fillId="3" borderId="1" xfId="0" applyNumberFormat="1" applyFont="1" applyFill="1" applyBorder="1" applyAlignment="1">
      <alignment horizontal="right" indent="3"/>
    </xf>
    <xf numFmtId="166" fontId="0" fillId="12" borderId="0" xfId="0" applyNumberFormat="1" applyFill="1" applyAlignment="1">
      <alignment horizontal="right" indent="3"/>
    </xf>
    <xf numFmtId="166" fontId="0" fillId="12" borderId="0" xfId="0" applyNumberFormat="1" applyFont="1" applyFill="1" applyAlignment="1">
      <alignment horizontal="right" indent="3"/>
    </xf>
    <xf numFmtId="0" fontId="0" fillId="12" borderId="0" xfId="0" applyFill="1" applyAlignment="1">
      <alignment horizontal="right" indent="3"/>
    </xf>
    <xf numFmtId="166" fontId="16" fillId="12" borderId="0" xfId="1" applyNumberFormat="1" applyFont="1" applyFill="1" applyAlignment="1">
      <alignment horizontal="right" indent="3"/>
    </xf>
    <xf numFmtId="166" fontId="0" fillId="12" borderId="0" xfId="0" applyNumberFormat="1" applyFont="1" applyFill="1" applyBorder="1" applyAlignment="1">
      <alignment horizontal="right" indent="3"/>
    </xf>
    <xf numFmtId="166" fontId="0" fillId="12" borderId="1" xfId="0" applyNumberFormat="1" applyFont="1" applyFill="1" applyBorder="1" applyAlignment="1">
      <alignment horizontal="right" indent="3"/>
    </xf>
    <xf numFmtId="0" fontId="0" fillId="11" borderId="0" xfId="0" applyFill="1" applyAlignment="1">
      <alignment horizontal="right" indent="3"/>
    </xf>
    <xf numFmtId="0" fontId="0" fillId="0" borderId="0" xfId="0" applyAlignment="1">
      <alignment horizontal="right" indent="3"/>
    </xf>
    <xf numFmtId="170" fontId="0" fillId="11" borderId="0" xfId="0" applyNumberFormat="1" applyFill="1" applyAlignment="1">
      <alignment horizontal="center"/>
    </xf>
    <xf numFmtId="0" fontId="54" fillId="0" borderId="0" xfId="0" applyFont="1"/>
    <xf numFmtId="0" fontId="0" fillId="0" borderId="0" xfId="0"/>
    <xf numFmtId="0" fontId="0" fillId="11" borderId="0" xfId="0" applyFill="1"/>
    <xf numFmtId="10" fontId="16" fillId="12" borderId="0" xfId="10" applyNumberFormat="1" applyFont="1" applyFill="1" applyAlignment="1">
      <alignment horizontal="center"/>
    </xf>
    <xf numFmtId="0" fontId="7" fillId="11" borderId="0" xfId="5" applyFill="1" applyAlignment="1" applyProtection="1"/>
    <xf numFmtId="0" fontId="43" fillId="2" borderId="0" xfId="0" applyFont="1" applyFill="1" applyBorder="1" applyAlignment="1">
      <alignment horizontal="center"/>
    </xf>
    <xf numFmtId="0" fontId="43" fillId="2" borderId="0" xfId="0" applyFont="1" applyFill="1" applyBorder="1"/>
    <xf numFmtId="0" fontId="43" fillId="2" borderId="0" xfId="0" applyFont="1" applyFill="1" applyBorder="1" applyAlignment="1">
      <alignment horizontal="center" vertical="center"/>
    </xf>
    <xf numFmtId="0" fontId="43" fillId="3" borderId="0" xfId="0" applyFont="1" applyFill="1" applyBorder="1" applyAlignment="1">
      <alignment horizontal="center"/>
    </xf>
    <xf numFmtId="0" fontId="0" fillId="2" borderId="0" xfId="0" applyFont="1" applyFill="1"/>
    <xf numFmtId="0" fontId="0" fillId="2" borderId="0" xfId="0" applyFont="1" applyFill="1" applyAlignment="1">
      <alignment horizontal="center" vertical="center"/>
    </xf>
    <xf numFmtId="164" fontId="0" fillId="2" borderId="0" xfId="0" applyNumberFormat="1" applyFont="1" applyFill="1"/>
    <xf numFmtId="0" fontId="0" fillId="9" borderId="0" xfId="0" applyFont="1" applyFill="1"/>
    <xf numFmtId="166" fontId="0" fillId="12" borderId="0" xfId="0" applyNumberFormat="1" applyFont="1" applyFill="1"/>
    <xf numFmtId="170" fontId="0" fillId="12" borderId="0" xfId="0" applyNumberFormat="1" applyFont="1" applyFill="1"/>
    <xf numFmtId="167" fontId="16" fillId="11" borderId="0" xfId="1" applyNumberFormat="1" applyFont="1" applyFill="1"/>
    <xf numFmtId="0" fontId="0" fillId="11" borderId="0" xfId="0" applyFill="1" applyAlignment="1">
      <alignment horizontal="center" vertical="center"/>
    </xf>
    <xf numFmtId="166" fontId="0" fillId="3" borderId="0" xfId="0" applyNumberFormat="1" applyFont="1" applyFill="1" applyProtection="1"/>
    <xf numFmtId="0" fontId="38" fillId="9" borderId="0" xfId="0" applyFont="1" applyFill="1" applyBorder="1"/>
    <xf numFmtId="170" fontId="43" fillId="3" borderId="0" xfId="0" applyNumberFormat="1" applyFont="1" applyFill="1" applyBorder="1" applyAlignment="1">
      <alignment horizontal="center"/>
    </xf>
    <xf numFmtId="166" fontId="43" fillId="3" borderId="0" xfId="0" applyNumberFormat="1" applyFont="1" applyFill="1" applyBorder="1" applyAlignment="1">
      <alignment horizontal="center"/>
    </xf>
    <xf numFmtId="166" fontId="0" fillId="3" borderId="0" xfId="0" applyNumberFormat="1" applyFont="1" applyFill="1"/>
    <xf numFmtId="166" fontId="0" fillId="12" borderId="0" xfId="0" applyNumberFormat="1" applyFont="1" applyFill="1" applyAlignment="1">
      <alignment horizontal="right"/>
    </xf>
    <xf numFmtId="166" fontId="0" fillId="12" borderId="0" xfId="0" applyNumberFormat="1" applyFont="1" applyFill="1" applyBorder="1" applyAlignment="1">
      <alignment horizontal="right"/>
    </xf>
    <xf numFmtId="0" fontId="55" fillId="11" borderId="0" xfId="0" applyFont="1" applyFill="1" applyAlignment="1">
      <alignment vertical="center"/>
    </xf>
    <xf numFmtId="0" fontId="54" fillId="11" borderId="0" xfId="0" applyFont="1" applyFill="1"/>
    <xf numFmtId="0" fontId="56" fillId="11" borderId="0" xfId="0" applyFont="1" applyFill="1" applyAlignment="1">
      <alignment vertical="center"/>
    </xf>
    <xf numFmtId="0" fontId="57" fillId="11" borderId="0" xfId="0" applyFont="1" applyFill="1" applyAlignment="1">
      <alignment vertical="center"/>
    </xf>
    <xf numFmtId="1" fontId="43" fillId="3" borderId="0" xfId="0" applyNumberFormat="1" applyFont="1" applyFill="1" applyBorder="1" applyAlignment="1">
      <alignment horizontal="left" indent="1"/>
    </xf>
    <xf numFmtId="1" fontId="43" fillId="3" borderId="1" xfId="0" applyNumberFormat="1" applyFont="1" applyFill="1" applyBorder="1" applyAlignment="1">
      <alignment horizontal="left" indent="1"/>
    </xf>
    <xf numFmtId="1" fontId="0" fillId="12" borderId="0" xfId="0" applyNumberFormat="1" applyFill="1" applyAlignment="1">
      <alignment horizontal="left" indent="1"/>
    </xf>
    <xf numFmtId="1" fontId="0" fillId="12" borderId="0" xfId="0" applyNumberFormat="1" applyFont="1" applyFill="1" applyAlignment="1">
      <alignment horizontal="left" indent="1"/>
    </xf>
    <xf numFmtId="1" fontId="0" fillId="12" borderId="0" xfId="0" applyNumberFormat="1" applyFont="1" applyFill="1" applyBorder="1" applyAlignment="1">
      <alignment horizontal="left" indent="1"/>
    </xf>
    <xf numFmtId="1" fontId="16" fillId="12" borderId="0" xfId="1" applyNumberFormat="1" applyFont="1" applyFill="1" applyAlignment="1">
      <alignment horizontal="left" indent="1"/>
    </xf>
    <xf numFmtId="1" fontId="0" fillId="12" borderId="1" xfId="0" applyNumberFormat="1" applyFont="1" applyFill="1" applyBorder="1" applyAlignment="1">
      <alignment horizontal="left" indent="1"/>
    </xf>
    <xf numFmtId="1" fontId="0" fillId="11" borderId="0" xfId="0" applyNumberFormat="1" applyFill="1" applyAlignment="1">
      <alignment horizontal="left" indent="1"/>
    </xf>
    <xf numFmtId="1" fontId="0" fillId="0" borderId="0" xfId="0" applyNumberFormat="1" applyAlignment="1">
      <alignment horizontal="left" indent="1"/>
    </xf>
    <xf numFmtId="166" fontId="0" fillId="12" borderId="0" xfId="0" applyNumberFormat="1" applyFont="1" applyFill="1" applyAlignment="1"/>
    <xf numFmtId="0" fontId="0" fillId="11" borderId="0" xfId="0" applyFont="1" applyFill="1" applyAlignment="1">
      <alignment horizontal="center"/>
    </xf>
    <xf numFmtId="166" fontId="0" fillId="11" borderId="0" xfId="0" applyNumberFormat="1" applyFont="1" applyFill="1" applyAlignment="1">
      <alignment horizontal="center"/>
    </xf>
    <xf numFmtId="0" fontId="7" fillId="0" borderId="0" xfId="5" applyAlignment="1" applyProtection="1"/>
    <xf numFmtId="166" fontId="58" fillId="0" borderId="2" xfId="13" applyNumberFormat="1" applyFont="1" applyFill="1" applyBorder="1" applyAlignment="1">
      <alignment horizontal="left" vertical="center"/>
    </xf>
    <xf numFmtId="0" fontId="0" fillId="0" borderId="0" xfId="0" applyAlignment="1">
      <alignment horizontal="left"/>
    </xf>
    <xf numFmtId="0" fontId="3" fillId="11" borderId="0" xfId="7" applyFont="1" applyFill="1" applyAlignment="1">
      <alignment horizontal="center"/>
    </xf>
    <xf numFmtId="0" fontId="3" fillId="0" borderId="0" xfId="7" applyAlignment="1">
      <alignment horizontal="center"/>
    </xf>
    <xf numFmtId="0" fontId="59" fillId="0" borderId="1" xfId="3" applyFont="1" applyBorder="1" applyAlignment="1" applyProtection="1">
      <alignment horizontal="center" wrapText="1"/>
      <protection locked="0"/>
    </xf>
    <xf numFmtId="0" fontId="18" fillId="0" borderId="8" xfId="3" applyAlignment="1" applyProtection="1">
      <alignment horizontal="left" wrapText="1"/>
      <protection locked="0"/>
    </xf>
    <xf numFmtId="0" fontId="19" fillId="0" borderId="0" xfId="4" applyAlignment="1">
      <alignment horizontal="left"/>
    </xf>
    <xf numFmtId="0" fontId="0" fillId="12" borderId="0" xfId="0" applyFill="1"/>
    <xf numFmtId="0" fontId="8" fillId="0" borderId="1" xfId="7" applyFont="1" applyBorder="1" applyAlignment="1">
      <alignment horizontal="left"/>
    </xf>
    <xf numFmtId="0" fontId="10" fillId="0" borderId="4" xfId="7" applyFont="1" applyBorder="1" applyAlignment="1">
      <alignment horizontal="center"/>
    </xf>
    <xf numFmtId="0" fontId="10" fillId="0" borderId="5" xfId="7" applyFont="1" applyBorder="1" applyAlignment="1">
      <alignment horizontal="center"/>
    </xf>
    <xf numFmtId="0" fontId="10" fillId="0" borderId="6" xfId="7" applyFont="1" applyBorder="1" applyAlignment="1">
      <alignment horizontal="center"/>
    </xf>
    <xf numFmtId="0" fontId="59" fillId="0" borderId="8" xfId="3" applyFont="1" applyAlignment="1" applyProtection="1">
      <alignment horizontal="left" wrapText="1"/>
      <protection locked="0"/>
    </xf>
    <xf numFmtId="0" fontId="18" fillId="0" borderId="1" xfId="3" applyBorder="1" applyAlignment="1" applyProtection="1">
      <alignment horizontal="left" wrapText="1"/>
      <protection locked="0"/>
    </xf>
    <xf numFmtId="166" fontId="0" fillId="0" borderId="0" xfId="0" applyNumberFormat="1" applyFont="1" applyAlignment="1" applyProtection="1">
      <alignment horizontal="center" vertical="center"/>
      <protection locked="0"/>
    </xf>
    <xf numFmtId="164" fontId="0" fillId="0" borderId="0" xfId="0" applyNumberFormat="1"/>
  </cellXfs>
  <cellStyles count="14">
    <cellStyle name="Comma" xfId="1" builtinId="3"/>
    <cellStyle name="Explanatory Text" xfId="2" builtinId="53"/>
    <cellStyle name="Heading 1" xfId="3" builtinId="16"/>
    <cellStyle name="Heading 4" xfId="4" builtinId="19"/>
    <cellStyle name="Hyperlink" xfId="5" builtinId="8"/>
    <cellStyle name="Input" xfId="6" builtinId="20"/>
    <cellStyle name="Normal" xfId="0" builtinId="0"/>
    <cellStyle name="Normal 2" xfId="7"/>
    <cellStyle name="Note" xfId="8" builtinId="10"/>
    <cellStyle name="Output" xfId="9" builtinId="21"/>
    <cellStyle name="Percent" xfId="10" builtinId="5"/>
    <cellStyle name="Percent 2" xfId="11"/>
    <cellStyle name="Title" xfId="12" builtinId="15"/>
    <cellStyle name="Warning Text" xfId="13" builtinId="11"/>
  </cellStyles>
  <dxfs count="37">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rgb="FF3F3F3F"/>
        </left>
        <right/>
        <top style="thin">
          <color rgb="FF3F3F3F"/>
        </top>
        <bottom style="thin">
          <color rgb="FF3F3F3F"/>
        </bottom>
      </border>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border diagonalUp="0" diagonalDown="0">
        <left/>
        <right style="thin">
          <color rgb="FF3F3F3F"/>
        </right>
        <top style="thin">
          <color rgb="FF3F3F3F"/>
        </top>
        <bottom style="thin">
          <color rgb="FF3F3F3F"/>
        </bottom>
      </border>
    </dxf>
    <dxf>
      <border outline="0">
        <left style="thin">
          <color rgb="FF3F3F3F"/>
        </left>
        <right style="thin">
          <color rgb="FF3F3F3F"/>
        </right>
        <bottom style="thin">
          <color rgb="FF3F3F3F"/>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bottom" textRotation="0" wrapText="0" indent="0" justifyLastLine="0" shrinkToFit="0" readingOrder="0"/>
    </dxf>
    <dxf>
      <border outline="0">
        <bottom style="thin">
          <color rgb="FF3F3F3F"/>
        </bottom>
      </border>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border diagonalUp="0" diagonalDown="0" outline="0">
        <left style="thin">
          <color rgb="FF3F3F3F"/>
        </left>
        <right/>
        <top style="thin">
          <color rgb="FF3F3F3F"/>
        </top>
        <bottom style="thin">
          <color rgb="FF3F3F3F"/>
        </bottom>
      </border>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val="0"/>
        <i val="0"/>
        <strike val="0"/>
        <condense val="0"/>
        <extend val="0"/>
        <outline val="0"/>
        <shadow val="0"/>
        <u val="none"/>
        <vertAlign val="baseline"/>
        <sz val="10"/>
        <color auto="1"/>
        <name val="Calibri"/>
        <scheme val="minor"/>
      </font>
      <numFmt numFmtId="166" formatCode="&quot;$&quot;#,##0"/>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none">
          <fgColor indexed="64"/>
          <bgColor indexed="65"/>
        </patternFill>
      </fill>
      <border diagonalUp="0" diagonalDown="0" outline="0">
        <left/>
        <right style="thin">
          <color rgb="FF3F3F3F"/>
        </right>
        <top style="thin">
          <color rgb="FF3F3F3F"/>
        </top>
        <bottom style="thin">
          <color rgb="FF3F3F3F"/>
        </bottom>
      </border>
    </dxf>
    <dxf>
      <border outline="0">
        <top style="thin">
          <color rgb="FF3F3F3F"/>
        </top>
      </border>
    </dxf>
    <dxf>
      <border outline="0">
        <left style="thin">
          <color rgb="FF3F3F3F"/>
        </left>
        <right style="thin">
          <color rgb="FF3F3F3F"/>
        </right>
        <top style="thin">
          <color rgb="FF3F3F3F"/>
        </top>
        <bottom style="thin">
          <color rgb="FF3F3F3F"/>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dxf>
    <dxf>
      <border outline="0">
        <bottom style="thin">
          <color rgb="FF3F3F3F"/>
        </bottom>
      </border>
    </dxf>
    <dxf>
      <font>
        <b/>
        <i val="0"/>
        <strike val="0"/>
        <condense val="0"/>
        <extend val="0"/>
        <outline val="0"/>
        <shadow val="0"/>
        <u val="none"/>
        <vertAlign val="baseline"/>
        <sz val="10"/>
        <color auto="1"/>
        <name val="Calibri"/>
        <scheme val="minor"/>
      </font>
      <fill>
        <patternFill patternType="solid">
          <fgColor indexed="64"/>
          <bgColor theme="0"/>
        </patternFill>
      </fill>
      <border diagonalUp="0" diagonalDown="0" outline="0">
        <left style="thin">
          <color rgb="FF3F3F3F"/>
        </left>
        <right style="thin">
          <color rgb="FF3F3F3F"/>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66675</xdr:rowOff>
    </xdr:from>
    <xdr:to>
      <xdr:col>9</xdr:col>
      <xdr:colOff>190500</xdr:colOff>
      <xdr:row>25</xdr:row>
      <xdr:rowOff>171450</xdr:rowOff>
    </xdr:to>
    <xdr:pic>
      <xdr:nvPicPr>
        <xdr:cNvPr id="105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1590675"/>
          <a:ext cx="4457700" cy="334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0</xdr:row>
      <xdr:rowOff>66675</xdr:rowOff>
    </xdr:from>
    <xdr:to>
      <xdr:col>10</xdr:col>
      <xdr:colOff>438150</xdr:colOff>
      <xdr:row>6</xdr:row>
      <xdr:rowOff>171450</xdr:rowOff>
    </xdr:to>
    <xdr:pic>
      <xdr:nvPicPr>
        <xdr:cNvPr id="1054" name="Picture 4" descr="01UICALS-metallic.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 y="66675"/>
          <a:ext cx="60198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371476</xdr:colOff>
      <xdr:row>0</xdr:row>
      <xdr:rowOff>123824</xdr:rowOff>
    </xdr:from>
    <xdr:ext cx="6334124" cy="7294048"/>
    <xdr:sp macro="" textlink="">
      <xdr:nvSpPr>
        <xdr:cNvPr id="2" name="TextBox 1"/>
        <xdr:cNvSpPr txBox="1"/>
      </xdr:nvSpPr>
      <xdr:spPr>
        <a:xfrm>
          <a:off x="371476" y="123824"/>
          <a:ext cx="6334124" cy="7294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600" b="1">
              <a:solidFill>
                <a:schemeClr val="tx1"/>
              </a:solidFill>
              <a:effectLst/>
              <a:latin typeface="+mn-lt"/>
              <a:ea typeface="+mn-ea"/>
              <a:cs typeface="+mn-cs"/>
            </a:rPr>
            <a:t>Background &amp; Assumptions</a:t>
          </a:r>
          <a:endParaRPr lang="en-US" sz="1600">
            <a:effectLst/>
          </a:endParaRPr>
        </a:p>
        <a:p>
          <a:r>
            <a:rPr lang="en-US" sz="1200">
              <a:solidFill>
                <a:schemeClr val="tx1"/>
              </a:solidFill>
              <a:effectLst/>
              <a:latin typeface="+mn-lt"/>
              <a:ea typeface="+mn-ea"/>
              <a:cs typeface="+mn-cs"/>
            </a:rPr>
            <a:t>     Economic costs are used in the University of Idaho costs and returns estimates. All resources are valued based on market price or opportunity cost. This budget represents the average costs and returns per cow associated with a 2500-cow dairy herd. The rolling 365-day 3.5% fat-corrected milk for the year is 23,376lb per cow, which is the state average for 2012. The herd is milked twice daily in a double 36 parallel parlor. Cows are grouped in three production strings and fed a total mixed ration.</a:t>
          </a:r>
        </a:p>
        <a:p>
          <a:r>
            <a:rPr lang="en-US" sz="1200">
              <a:solidFill>
                <a:schemeClr val="tx1"/>
              </a:solidFill>
              <a:effectLst/>
              <a:latin typeface="+mn-lt"/>
              <a:ea typeface="+mn-ea"/>
              <a:cs typeface="+mn-cs"/>
            </a:rPr>
            <a:t>     Free stalls provide housing for the milking cows. Loose housing is provided for dry cows. All pens have lock-type stanchions for herd management. The owner contributes to the daily labor requirement. The $2,886 per cow facility investment is based on the best estimate of current cost and the average value of each component over its useful life. </a:t>
          </a:r>
        </a:p>
        <a:p>
          <a:r>
            <a:rPr lang="en-US" sz="1600" b="1">
              <a:solidFill>
                <a:schemeClr val="tx1"/>
              </a:solidFill>
              <a:effectLst/>
              <a:latin typeface="+mn-lt"/>
              <a:ea typeface="+mn-ea"/>
              <a:cs typeface="+mn-cs"/>
            </a:rPr>
            <a:t>Dairy Overview</a:t>
          </a:r>
          <a:endParaRPr lang="en-US" sz="1600">
            <a:solidFill>
              <a:schemeClr val="tx1"/>
            </a:solidFill>
            <a:effectLst/>
            <a:latin typeface="+mn-lt"/>
            <a:ea typeface="+mn-ea"/>
            <a:cs typeface="+mn-cs"/>
          </a:endParaRPr>
        </a:p>
        <a:p>
          <a:r>
            <a:rPr lang="en-US" sz="1200" b="1">
              <a:solidFill>
                <a:schemeClr val="tx1"/>
              </a:solidFill>
              <a:effectLst/>
              <a:latin typeface="+mn-lt"/>
              <a:ea typeface="+mn-ea"/>
              <a:cs typeface="+mn-cs"/>
            </a:rPr>
            <a:t>Herd Information</a:t>
          </a:r>
        </a:p>
        <a:p>
          <a:r>
            <a:rPr lang="en-US" sz="1200">
              <a:solidFill>
                <a:schemeClr val="tx1"/>
              </a:solidFill>
              <a:effectLst/>
              <a:latin typeface="+mn-lt"/>
              <a:ea typeface="+mn-ea"/>
              <a:cs typeface="+mn-cs"/>
            </a:rPr>
            <a:t>     The herd consists of 2500 cows total with 85 percent of cows in milk (2100 milking + 400 dry). The herd replacement rate is 40% annually (cull loss and mortality) with ready-to-calve heifers used as replacement ($1,289 per head). The herd has a 8% mortality rate on mature cows and an average 13.8-month calving interval. </a:t>
          </a:r>
        </a:p>
        <a:p>
          <a:r>
            <a:rPr lang="en-US" sz="1200" b="1">
              <a:solidFill>
                <a:schemeClr val="tx1"/>
              </a:solidFill>
              <a:effectLst/>
              <a:latin typeface="+mn-lt"/>
              <a:ea typeface="+mn-ea"/>
              <a:cs typeface="+mn-cs"/>
            </a:rPr>
            <a:t>Labor</a:t>
          </a:r>
        </a:p>
        <a:p>
          <a:r>
            <a:rPr lang="en-US" sz="1200">
              <a:solidFill>
                <a:schemeClr val="tx1"/>
              </a:solidFill>
              <a:effectLst/>
              <a:latin typeface="+mn-lt"/>
              <a:ea typeface="+mn-ea"/>
              <a:cs typeface="+mn-cs"/>
            </a:rPr>
            <a:t>     As shown below in Table 1, all milking labor is hired (55 hours/day includes all cleanup). Feeding labor is hired labor (14 hours/day for feeding plus time to do rations). Facility management labor is split between hired (20 hours/ day) and owner (4 hours/day). Herd management labor is also split between the herd manager plus hired labor (21 hours/day) and the herd owner (4 hours/day). Manure is managed in open lots and removed twice a year by a custom operator. Feed lanes are scraped once or twice daily.</a:t>
          </a:r>
        </a:p>
        <a:p>
          <a:r>
            <a:rPr lang="en-US" sz="1200" b="1">
              <a:solidFill>
                <a:schemeClr val="tx1"/>
              </a:solidFill>
              <a:effectLst/>
              <a:latin typeface="+mn-lt"/>
              <a:ea typeface="+mn-ea"/>
              <a:cs typeface="+mn-cs"/>
            </a:rPr>
            <a:t>Feeds</a:t>
          </a:r>
        </a:p>
        <a:p>
          <a:r>
            <a:rPr lang="en-US" sz="1200">
              <a:solidFill>
                <a:schemeClr val="tx1"/>
              </a:solidFill>
              <a:effectLst/>
              <a:latin typeface="+mn-lt"/>
              <a:ea typeface="+mn-ea"/>
              <a:cs typeface="+mn-cs"/>
            </a:rPr>
            <a:t>      Total Mixed Rations (TMR) are combined with alfalfa using a vertical mixer. A base commodity mix is fed to all cows. In addition, the milking herd receives a supplement mix. These two blends are purchased are created by a consultant who creates rations based on current relative costs and cattle nutrient needs to meet the requirements of each group of cows. A representative daily feed ration would consist of hay, grain, and other supplements as shown in Table 2. Average total feed cost per cow for the herd is $6.04 per day.</a:t>
          </a:r>
        </a:p>
        <a:p>
          <a:r>
            <a:rPr lang="en-US" sz="1200" b="1">
              <a:solidFill>
                <a:schemeClr val="tx1"/>
              </a:solidFill>
              <a:effectLst/>
              <a:latin typeface="+mn-lt"/>
              <a:ea typeface="+mn-ea"/>
              <a:cs typeface="+mn-cs"/>
            </a:rPr>
            <a:t>Herd Health</a:t>
          </a:r>
        </a:p>
        <a:p>
          <a:r>
            <a:rPr lang="en-US" sz="1200">
              <a:solidFill>
                <a:schemeClr val="tx1"/>
              </a:solidFill>
              <a:effectLst/>
              <a:latin typeface="+mn-lt"/>
              <a:ea typeface="+mn-ea"/>
              <a:cs typeface="+mn-cs"/>
            </a:rPr>
            <a:t>     Artificial insemination (AI) is used for breeding. Breeding, testing, veterinary services, and medicine are included in the annual veterinary services charge.</a:t>
          </a:r>
        </a:p>
        <a:p>
          <a:r>
            <a:rPr lang="en-US" sz="1100">
              <a:solidFill>
                <a:schemeClr val="tx1"/>
              </a:solidFill>
              <a:effectLst/>
              <a:latin typeface="+mn-lt"/>
              <a:ea typeface="+mn-ea"/>
              <a:cs typeface="+mn-cs"/>
            </a:rPr>
            <a:t>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a:t>
          </a:r>
        </a:p>
        <a:p>
          <a:endParaRPr lang="en-US" sz="1100"/>
        </a:p>
      </xdr:txBody>
    </xdr:sp>
    <xdr:clientData/>
  </xdr:oneCellAnchor>
  <xdr:twoCellAnchor>
    <xdr:from>
      <xdr:col>2</xdr:col>
      <xdr:colOff>219075</xdr:colOff>
      <xdr:row>37</xdr:row>
      <xdr:rowOff>28575</xdr:rowOff>
    </xdr:from>
    <xdr:to>
      <xdr:col>9</xdr:col>
      <xdr:colOff>219075</xdr:colOff>
      <xdr:row>48</xdr:row>
      <xdr:rowOff>104775</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5" y="7077075"/>
          <a:ext cx="4267200" cy="2171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2</xdr:col>
      <xdr:colOff>447675</xdr:colOff>
      <xdr:row>49</xdr:row>
      <xdr:rowOff>161925</xdr:rowOff>
    </xdr:from>
    <xdr:to>
      <xdr:col>8</xdr:col>
      <xdr:colOff>428625</xdr:colOff>
      <xdr:row>72</xdr:row>
      <xdr:rowOff>10112</xdr:rowOff>
    </xdr:to>
    <xdr:pic>
      <xdr:nvPicPr>
        <xdr:cNvPr id="8"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5" y="9496425"/>
          <a:ext cx="3638550" cy="422968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66675</xdr:colOff>
      <xdr:row>0</xdr:row>
      <xdr:rowOff>266700</xdr:rowOff>
    </xdr:from>
    <xdr:to>
      <xdr:col>19</xdr:col>
      <xdr:colOff>542925</xdr:colOff>
      <xdr:row>7</xdr:row>
      <xdr:rowOff>19050</xdr:rowOff>
    </xdr:to>
    <xdr:pic>
      <xdr:nvPicPr>
        <xdr:cNvPr id="1333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266700"/>
          <a:ext cx="16573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104775</xdr:colOff>
      <xdr:row>1</xdr:row>
      <xdr:rowOff>38100</xdr:rowOff>
    </xdr:from>
    <xdr:to>
      <xdr:col>19</xdr:col>
      <xdr:colOff>581025</xdr:colOff>
      <xdr:row>8</xdr:row>
      <xdr:rowOff>9525</xdr:rowOff>
    </xdr:to>
    <xdr:pic>
      <xdr:nvPicPr>
        <xdr:cNvPr id="19502"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1825" y="371475"/>
          <a:ext cx="1695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N43" totalsRowShown="0" headerRowDxfId="36" dataDxfId="34" headerRowBorderDxfId="35" tableBorderDxfId="33" totalsRowBorderDxfId="32" headerRowCellStyle="Output" dataCellStyle="Output">
  <autoFilter ref="A3:N43"/>
  <tableColumns count="14">
    <tableColumn id="1" name="Column1" dataDxfId="31" dataCellStyle="Output"/>
    <tableColumn id="2" name="Column2" dataDxfId="30" dataCellStyle="Output"/>
    <tableColumn id="3" name="Column3" dataDxfId="29" dataCellStyle="Output"/>
    <tableColumn id="4" name="Column4" dataDxfId="28" dataCellStyle="Output"/>
    <tableColumn id="5" name="Column5" dataDxfId="27" dataCellStyle="Output"/>
    <tableColumn id="6" name="Column6" dataDxfId="26" dataCellStyle="Output"/>
    <tableColumn id="7" name="Column7" dataDxfId="25" dataCellStyle="Output"/>
    <tableColumn id="8" name="Column8" dataDxfId="24" dataCellStyle="Output"/>
    <tableColumn id="9" name="Column9" dataDxfId="23" dataCellStyle="Output"/>
    <tableColumn id="10" name="Column10" dataDxfId="22" dataCellStyle="Output"/>
    <tableColumn id="11" name="Column11" dataDxfId="21" dataCellStyle="Output"/>
    <tableColumn id="12" name="Column12" dataDxfId="20" dataCellStyle="Output"/>
    <tableColumn id="13" name="Column13" dataDxfId="19" dataCellStyle="Output"/>
    <tableColumn id="14" name="Column14" dataDxfId="18" dataCellStyle="Output"/>
  </tableColumns>
  <tableStyleInfo name="TableStyleLight2" showFirstColumn="0" showLastColumn="0" showRowStripes="1" showColumnStripes="0"/>
</table>
</file>

<file path=xl/tables/table2.xml><?xml version="1.0" encoding="utf-8"?>
<table xmlns="http://schemas.openxmlformats.org/spreadsheetml/2006/main" id="2" name="Table2" displayName="Table2" ref="A48:N64" totalsRowShown="0" headerRowDxfId="17" dataDxfId="15" headerRowBorderDxfId="16" tableBorderDxfId="14" headerRowCellStyle="Output" dataCellStyle="Output">
  <autoFilter ref="A48:N64"/>
  <tableColumns count="14">
    <tableColumn id="1" name="Column1" dataDxfId="13" dataCellStyle="Output"/>
    <tableColumn id="2" name="Column2" dataDxfId="12" dataCellStyle="Output"/>
    <tableColumn id="3" name="Column3" dataDxfId="11" dataCellStyle="Output"/>
    <tableColumn id="4" name="Column4" dataDxfId="10" dataCellStyle="Output"/>
    <tableColumn id="5" name="Column5" dataDxfId="9" dataCellStyle="Output"/>
    <tableColumn id="6" name="Column6" dataDxfId="8" dataCellStyle="Output"/>
    <tableColumn id="7" name="Column7" dataDxfId="7" dataCellStyle="Output"/>
    <tableColumn id="8" name="Column8" dataDxfId="6" dataCellStyle="Output"/>
    <tableColumn id="9" name="Column9" dataDxfId="5" dataCellStyle="Output"/>
    <tableColumn id="10" name="Column10" dataDxfId="4" dataCellStyle="Output"/>
    <tableColumn id="11" name="Column11" dataDxfId="3" dataCellStyle="Output"/>
    <tableColumn id="12" name="Column12" dataDxfId="2" dataCellStyle="Output"/>
    <tableColumn id="13" name="Column13" dataDxfId="1" dataCellStyle="Output"/>
    <tableColumn id="14" name="Column14" dataDxfId="0" dataCellStyle="Output"/>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eb.cals.uidaho.edu/idahoagbiz/enterprise-budgets/" TargetMode="External"/><Relationship Id="rId2" Type="http://schemas.openxmlformats.org/officeDocument/2006/relationships/hyperlink" Target="mailto:wgray@uidaho.edu" TargetMode="External"/><Relationship Id="rId1" Type="http://schemas.openxmlformats.org/officeDocument/2006/relationships/hyperlink" Target="mailto:kpainter@uidaho.ed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als.uidaho.edu/aers/LivestockEBB2010/EBBD5105000.xls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cals.uidaho.edu/aers/LivestockEBB2010/EBBD4102500.xlsx" TargetMode="External"/><Relationship Id="rId1" Type="http://schemas.openxmlformats.org/officeDocument/2006/relationships/hyperlink" Target="http://www.cals.uidaho.edu/aers/LivestockEBB2010/EBBD5105000.xlsx"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9:CA42"/>
  <sheetViews>
    <sheetView tabSelected="1" topLeftCell="A16" workbookViewId="0">
      <selection activeCell="C47" sqref="C47"/>
    </sheetView>
  </sheetViews>
  <sheetFormatPr defaultColWidth="9.109375" defaultRowHeight="14.4" x14ac:dyDescent="0.3"/>
  <cols>
    <col min="1" max="16384" width="9.109375" style="62"/>
  </cols>
  <sheetData>
    <row r="29" spans="1:38" ht="20.25" x14ac:dyDescent="0.3">
      <c r="F29" s="135" t="s">
        <v>242</v>
      </c>
    </row>
    <row r="30" spans="1:38" ht="20.25" x14ac:dyDescent="0.3">
      <c r="F30" s="135" t="s">
        <v>195</v>
      </c>
    </row>
    <row r="32" spans="1:38" ht="15" x14ac:dyDescent="0.25">
      <c r="A32" s="79"/>
      <c r="B32" s="79"/>
      <c r="C32" s="79"/>
      <c r="D32" s="79"/>
      <c r="F32" s="80" t="s">
        <v>124</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row>
    <row r="33" spans="1:79" ht="15" x14ac:dyDescent="0.25">
      <c r="A33" s="79"/>
      <c r="B33" s="79"/>
      <c r="C33" s="79"/>
      <c r="D33" s="79"/>
      <c r="F33" s="80" t="s">
        <v>125</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row>
    <row r="34" spans="1:79" ht="15" x14ac:dyDescent="0.25">
      <c r="A34" s="79"/>
      <c r="B34" s="79"/>
      <c r="C34" s="79"/>
      <c r="D34" s="79"/>
      <c r="F34" s="80" t="s">
        <v>126</v>
      </c>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row>
    <row r="35" spans="1:79" ht="15"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row>
    <row r="37" spans="1:79" ht="15" x14ac:dyDescent="0.25">
      <c r="A37" s="78"/>
      <c r="B37" s="78"/>
      <c r="C37" s="396" t="s">
        <v>123</v>
      </c>
      <c r="D37" s="397"/>
      <c r="E37" s="397"/>
      <c r="F37" s="397"/>
      <c r="G37" s="397"/>
      <c r="H37" s="397"/>
      <c r="I37" s="397"/>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row>
    <row r="38" spans="1:79" ht="15" x14ac:dyDescent="0.25">
      <c r="D38" s="357" t="s">
        <v>243</v>
      </c>
    </row>
    <row r="39" spans="1:79" ht="17.25" x14ac:dyDescent="0.25">
      <c r="C39" s="62" t="s">
        <v>127</v>
      </c>
    </row>
    <row r="40" spans="1:79" x14ac:dyDescent="0.3">
      <c r="C40" s="62" t="s">
        <v>130</v>
      </c>
    </row>
    <row r="41" spans="1:79" x14ac:dyDescent="0.3">
      <c r="C41" s="81" t="s">
        <v>122</v>
      </c>
      <c r="F41" s="62" t="s">
        <v>121</v>
      </c>
      <c r="H41" s="62" t="s">
        <v>132</v>
      </c>
    </row>
    <row r="42" spans="1:79" x14ac:dyDescent="0.3">
      <c r="C42" s="81" t="s">
        <v>128</v>
      </c>
      <c r="F42" s="62" t="s">
        <v>129</v>
      </c>
      <c r="H42" s="62" t="s">
        <v>131</v>
      </c>
    </row>
  </sheetData>
  <mergeCells count="1">
    <mergeCell ref="C37:I37"/>
  </mergeCells>
  <hyperlinks>
    <hyperlink ref="C41" r:id="rId1"/>
    <hyperlink ref="C42" r:id="rId2"/>
    <hyperlink ref="D38" r:id="rId3"/>
  </hyperlinks>
  <pageMargins left="0.7" right="0.7" top="0.75" bottom="0.75" header="0.3" footer="0.3"/>
  <pageSetup scale="8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58" sqref="K58"/>
    </sheetView>
  </sheetViews>
  <sheetFormatPr defaultColWidth="9.109375" defaultRowHeight="14.4" x14ac:dyDescent="0.3"/>
  <cols>
    <col min="1" max="16384" width="9.109375" style="355"/>
  </cols>
  <sheetData/>
  <pageMargins left="0.7" right="0.7" top="0.75" bottom="0.75" header="0.3" footer="0.3"/>
  <pageSetup scale="76" fitToHeight="2" orientation="portrait" r:id="rId1"/>
  <rowBreaks count="1" manualBreakCount="1">
    <brk id="36" max="1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0"/>
  <sheetViews>
    <sheetView zoomScaleNormal="100" workbookViewId="0">
      <selection activeCell="D4" sqref="D4"/>
    </sheetView>
  </sheetViews>
  <sheetFormatPr defaultRowHeight="14.4" x14ac:dyDescent="0.3"/>
  <cols>
    <col min="1" max="1" width="2" style="77" customWidth="1"/>
    <col min="2" max="2" width="66.44140625" customWidth="1"/>
    <col min="3" max="3" width="2" style="77" customWidth="1"/>
    <col min="4" max="4" width="21.109375" customWidth="1"/>
    <col min="5" max="5" width="2" style="77" customWidth="1"/>
    <col min="6" max="6" width="13.6640625" customWidth="1"/>
    <col min="7" max="7" width="11.6640625" customWidth="1"/>
    <col min="8" max="8" width="11.6640625" style="38" customWidth="1"/>
    <col min="9" max="9" width="13" customWidth="1"/>
    <col min="10" max="10" width="13.88671875" customWidth="1"/>
    <col min="11" max="11" width="13.88671875" style="38" customWidth="1"/>
    <col min="12" max="12" width="11.33203125" customWidth="1"/>
    <col min="13" max="13" width="10.5546875" customWidth="1"/>
    <col min="14" max="14" width="18.6640625" customWidth="1"/>
    <col min="15" max="15" width="25.109375" customWidth="1"/>
  </cols>
  <sheetData>
    <row r="1" spans="1:7" s="77" customFormat="1" ht="42.75" customHeight="1" x14ac:dyDescent="0.3">
      <c r="A1" s="398" t="s">
        <v>245</v>
      </c>
      <c r="B1" s="398"/>
      <c r="C1" s="398"/>
      <c r="D1" s="398"/>
      <c r="E1" s="398"/>
    </row>
    <row r="2" spans="1:7" s="77" customFormat="1" ht="15.75" customHeight="1" x14ac:dyDescent="0.25">
      <c r="A2" s="256"/>
      <c r="B2" s="256"/>
      <c r="C2" s="256"/>
      <c r="D2" s="256"/>
      <c r="E2" s="256"/>
    </row>
    <row r="3" spans="1:7" s="77" customFormat="1" ht="30" customHeight="1" x14ac:dyDescent="0.25">
      <c r="A3" s="36"/>
      <c r="B3" s="259" t="s">
        <v>89</v>
      </c>
      <c r="C3" s="36"/>
      <c r="D3" s="266">
        <v>233.76</v>
      </c>
      <c r="E3" s="36"/>
    </row>
    <row r="4" spans="1:7" s="258" customFormat="1" ht="9.75" customHeight="1" x14ac:dyDescent="0.25">
      <c r="A4" s="256"/>
      <c r="B4" s="256"/>
      <c r="C4" s="256"/>
      <c r="D4" s="256"/>
      <c r="E4" s="256"/>
    </row>
    <row r="5" spans="1:7" s="262" customFormat="1" ht="30" customHeight="1" x14ac:dyDescent="0.25">
      <c r="A5" s="260"/>
      <c r="B5" s="259" t="s">
        <v>88</v>
      </c>
      <c r="C5" s="260"/>
      <c r="D5" s="261">
        <v>17.53</v>
      </c>
      <c r="E5" s="260"/>
    </row>
    <row r="6" spans="1:7" s="258" customFormat="1" ht="9.75" customHeight="1" x14ac:dyDescent="0.25">
      <c r="A6" s="256"/>
      <c r="B6" s="256"/>
      <c r="C6" s="256"/>
      <c r="D6" s="256"/>
      <c r="E6" s="256"/>
    </row>
    <row r="7" spans="1:7" s="262" customFormat="1" ht="30" customHeight="1" x14ac:dyDescent="0.25">
      <c r="A7" s="260"/>
      <c r="B7" s="259" t="s">
        <v>197</v>
      </c>
      <c r="C7" s="260"/>
      <c r="D7" s="263">
        <f>D5*D3</f>
        <v>4097.8127999999997</v>
      </c>
      <c r="E7" s="260"/>
    </row>
    <row r="8" spans="1:7" s="262" customFormat="1" ht="30" customHeight="1" x14ac:dyDescent="0.25">
      <c r="A8" s="260"/>
      <c r="B8" s="259" t="s">
        <v>198</v>
      </c>
      <c r="C8" s="260"/>
      <c r="D8" s="263">
        <f>'Table 1 Enterprise Budget '!$M$8</f>
        <v>3714.5837520000005</v>
      </c>
      <c r="E8" s="260"/>
    </row>
    <row r="9" spans="1:7" s="258" customFormat="1" ht="9.75" customHeight="1" x14ac:dyDescent="0.25">
      <c r="A9" s="256"/>
      <c r="B9" s="256"/>
      <c r="C9" s="256"/>
      <c r="D9" s="256"/>
      <c r="E9" s="256"/>
    </row>
    <row r="10" spans="1:7" s="262" customFormat="1" ht="30" customHeight="1" x14ac:dyDescent="0.25">
      <c r="A10" s="260"/>
      <c r="B10" s="259" t="s">
        <v>199</v>
      </c>
      <c r="C10" s="260"/>
      <c r="D10" s="263">
        <f>'Table 1 Enterprise Budget '!$M$15</f>
        <v>2205.6634427083327</v>
      </c>
      <c r="E10" s="260"/>
    </row>
    <row r="11" spans="1:7" s="262" customFormat="1" ht="30" customHeight="1" x14ac:dyDescent="0.25">
      <c r="A11" s="260"/>
      <c r="B11" s="259" t="s">
        <v>200</v>
      </c>
      <c r="C11" s="260"/>
      <c r="D11" s="263">
        <f>'Table 1 Enterprise Budget '!$M$45</f>
        <v>3384.2407771354183</v>
      </c>
      <c r="E11" s="260"/>
      <c r="F11" s="310"/>
      <c r="G11" s="311"/>
    </row>
    <row r="12" spans="1:7" s="262" customFormat="1" ht="30" customHeight="1" x14ac:dyDescent="0.25">
      <c r="A12" s="260"/>
      <c r="B12" s="259" t="s">
        <v>201</v>
      </c>
      <c r="C12" s="260"/>
      <c r="D12" s="263">
        <f>'Table 1 Enterprise Budget '!$M$49</f>
        <v>626.77957238850365</v>
      </c>
      <c r="E12" s="260"/>
      <c r="F12" s="310"/>
    </row>
    <row r="13" spans="1:7" s="262" customFormat="1" ht="30" customHeight="1" x14ac:dyDescent="0.25">
      <c r="A13" s="260"/>
      <c r="B13" s="259" t="s">
        <v>202</v>
      </c>
      <c r="C13" s="260"/>
      <c r="D13" s="263">
        <f>D11+D12</f>
        <v>4011.0203495239221</v>
      </c>
      <c r="E13" s="260"/>
      <c r="F13" s="310"/>
    </row>
    <row r="14" spans="1:7" s="265" customFormat="1" ht="9.75" customHeight="1" x14ac:dyDescent="0.25">
      <c r="A14" s="264"/>
      <c r="B14" s="264"/>
      <c r="C14" s="264"/>
      <c r="D14" s="264"/>
      <c r="E14" s="264"/>
    </row>
    <row r="15" spans="1:7" s="262" customFormat="1" ht="30" customHeight="1" x14ac:dyDescent="0.25">
      <c r="A15" s="260"/>
      <c r="B15" s="259" t="s">
        <v>203</v>
      </c>
      <c r="C15" s="260"/>
      <c r="D15" s="263">
        <f>+D8-D11</f>
        <v>330.34297486458217</v>
      </c>
      <c r="E15" s="260"/>
    </row>
    <row r="16" spans="1:7" s="262" customFormat="1" ht="30" customHeight="1" x14ac:dyDescent="0.3">
      <c r="A16" s="260"/>
      <c r="B16" s="259" t="s">
        <v>196</v>
      </c>
      <c r="C16" s="260"/>
      <c r="D16" s="263">
        <f>D8-D13</f>
        <v>-296.43659752392159</v>
      </c>
      <c r="E16" s="260"/>
    </row>
    <row r="17" spans="1:6" s="77" customFormat="1" ht="15.75" customHeight="1" x14ac:dyDescent="0.3">
      <c r="A17" s="257"/>
      <c r="B17" s="257"/>
      <c r="C17" s="257"/>
      <c r="D17" s="257"/>
      <c r="E17" s="257"/>
    </row>
    <row r="18" spans="1:6" x14ac:dyDescent="0.3">
      <c r="A18" s="394" t="s">
        <v>241</v>
      </c>
      <c r="B18" s="394"/>
      <c r="C18" s="394"/>
      <c r="D18" s="394"/>
      <c r="E18" s="394"/>
      <c r="F18" s="395"/>
    </row>
    <row r="19" spans="1:6" x14ac:dyDescent="0.3">
      <c r="B19" s="95"/>
    </row>
    <row r="20" spans="1:6" x14ac:dyDescent="0.3">
      <c r="B20" s="95"/>
    </row>
  </sheetData>
  <mergeCells count="1">
    <mergeCell ref="A1:E1"/>
  </mergeCells>
  <pageMargins left="0.7" right="0.7" top="0.75" bottom="0.75" header="0.3" footer="0.3"/>
  <pageSetup scale="96" orientation="portrait" r:id="rId1"/>
  <headerFooter>
    <oddFooter>&amp;L&amp;F&amp;C&amp;A&amp;R&amp;D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117"/>
  <sheetViews>
    <sheetView zoomScaleNormal="100" workbookViewId="0">
      <selection activeCell="A3" sqref="A3:R3"/>
    </sheetView>
  </sheetViews>
  <sheetFormatPr defaultRowHeight="14.4" x14ac:dyDescent="0.3"/>
  <cols>
    <col min="1" max="1" width="29.5546875" customWidth="1"/>
    <col min="2" max="2" width="2" customWidth="1"/>
    <col min="3" max="3" width="13.88671875" style="40" customWidth="1"/>
    <col min="4" max="4" width="2" customWidth="1"/>
    <col min="5" max="5" width="12.44140625" style="37" customWidth="1"/>
    <col min="6" max="6" width="1.5546875" customWidth="1"/>
    <col min="7" max="7" width="12.109375" customWidth="1"/>
    <col min="8" max="8" width="1.6640625" customWidth="1"/>
    <col min="9" max="9" width="16.6640625" style="35" customWidth="1"/>
    <col min="10" max="10" width="1.5546875" customWidth="1"/>
    <col min="11" max="11" width="16.44140625" customWidth="1"/>
    <col min="12" max="12" width="1.109375" customWidth="1"/>
    <col min="13" max="13" width="15.109375" customWidth="1"/>
    <col min="14" max="14" width="1.33203125" customWidth="1"/>
    <col min="15" max="15" width="9.6640625" hidden="1" customWidth="1"/>
    <col min="16" max="16" width="2.88671875" hidden="1" customWidth="1"/>
    <col min="17" max="17" width="11.88671875" customWidth="1"/>
    <col min="18" max="18" width="1.88671875" style="77" customWidth="1"/>
    <col min="19" max="19" width="12.44140625" bestFit="1" customWidth="1"/>
  </cols>
  <sheetData>
    <row r="1" spans="1:22" s="38" customFormat="1" ht="15" x14ac:dyDescent="0.25">
      <c r="A1" s="61" t="s">
        <v>90</v>
      </c>
      <c r="C1" s="40"/>
      <c r="E1" s="37"/>
      <c r="I1" s="35"/>
      <c r="R1" s="77"/>
    </row>
    <row r="2" spans="1:22" s="38" customFormat="1" ht="15.75" x14ac:dyDescent="0.25">
      <c r="A2" s="47" t="s">
        <v>49</v>
      </c>
      <c r="C2" s="60">
        <v>2500</v>
      </c>
      <c r="E2" s="47"/>
      <c r="F2" s="47"/>
      <c r="G2" s="94">
        <f>FreeStall_Prod.</f>
        <v>233.76</v>
      </c>
      <c r="H2" s="77"/>
      <c r="I2" s="400" t="s">
        <v>168</v>
      </c>
      <c r="J2" s="400"/>
      <c r="K2" s="400"/>
      <c r="M2" s="35"/>
      <c r="O2" s="35"/>
      <c r="R2" s="77"/>
    </row>
    <row r="3" spans="1:22" s="38" customFormat="1" ht="33.75" customHeight="1" thickBot="1" x14ac:dyDescent="0.35">
      <c r="A3" s="399" t="s">
        <v>194</v>
      </c>
      <c r="B3" s="399"/>
      <c r="C3" s="399"/>
      <c r="D3" s="399"/>
      <c r="E3" s="399"/>
      <c r="F3" s="399"/>
      <c r="G3" s="399"/>
      <c r="H3" s="399"/>
      <c r="I3" s="399"/>
      <c r="J3" s="399"/>
      <c r="K3" s="399"/>
      <c r="L3" s="399"/>
      <c r="M3" s="399"/>
      <c r="N3" s="399"/>
      <c r="O3" s="399"/>
      <c r="P3" s="399"/>
      <c r="Q3" s="399"/>
      <c r="R3" s="399"/>
    </row>
    <row r="4" spans="1:22" s="38" customFormat="1" ht="16.5" thickTop="1" x14ac:dyDescent="0.25">
      <c r="A4" s="1"/>
      <c r="B4" s="1"/>
      <c r="C4" s="2" t="s">
        <v>0</v>
      </c>
      <c r="D4" s="3"/>
      <c r="E4" s="4"/>
      <c r="F4" s="3"/>
      <c r="G4" s="4" t="s">
        <v>41</v>
      </c>
      <c r="H4" s="3"/>
      <c r="I4" s="3" t="s">
        <v>1</v>
      </c>
      <c r="J4" s="3"/>
      <c r="K4" s="5" t="s">
        <v>2</v>
      </c>
      <c r="L4" s="6"/>
      <c r="M4" s="53" t="s">
        <v>2</v>
      </c>
      <c r="N4" s="54"/>
      <c r="O4" s="53" t="s">
        <v>2</v>
      </c>
      <c r="P4" s="54"/>
      <c r="Q4" s="53" t="s">
        <v>2</v>
      </c>
      <c r="R4" s="6"/>
    </row>
    <row r="5" spans="1:22" s="38" customFormat="1" ht="15.75" x14ac:dyDescent="0.25">
      <c r="A5" s="7" t="s">
        <v>3</v>
      </c>
      <c r="B5" s="1"/>
      <c r="C5" s="2" t="s">
        <v>38</v>
      </c>
      <c r="D5" s="3"/>
      <c r="E5" s="4" t="s">
        <v>4</v>
      </c>
      <c r="F5" s="3"/>
      <c r="G5" s="4" t="s">
        <v>42</v>
      </c>
      <c r="H5" s="3"/>
      <c r="I5" s="3" t="s">
        <v>5</v>
      </c>
      <c r="J5" s="3"/>
      <c r="K5" s="5" t="s">
        <v>40</v>
      </c>
      <c r="L5" s="6"/>
      <c r="M5" s="55" t="s">
        <v>71</v>
      </c>
      <c r="N5" s="18"/>
      <c r="O5" s="55" t="s">
        <v>72</v>
      </c>
      <c r="P5" s="18"/>
      <c r="Q5" s="55" t="s">
        <v>48</v>
      </c>
      <c r="R5" s="6"/>
    </row>
    <row r="6" spans="1:22" s="38" customFormat="1" ht="5.25" customHeight="1" x14ac:dyDescent="0.25">
      <c r="A6" s="8"/>
      <c r="B6" s="9"/>
      <c r="C6" s="9"/>
      <c r="D6" s="9"/>
      <c r="E6" s="10"/>
      <c r="F6" s="9"/>
      <c r="G6" s="10"/>
      <c r="H6" s="9"/>
      <c r="I6" s="9"/>
      <c r="J6" s="9"/>
      <c r="K6" s="11"/>
      <c r="L6" s="12"/>
      <c r="M6" s="11"/>
      <c r="N6" s="12"/>
      <c r="O6" s="11"/>
      <c r="P6" s="12"/>
      <c r="Q6" s="11"/>
      <c r="R6" s="12"/>
    </row>
    <row r="7" spans="1:22" s="38" customFormat="1" ht="6.75" customHeight="1" x14ac:dyDescent="0.25">
      <c r="A7" s="16"/>
      <c r="B7" s="16"/>
      <c r="C7" s="16"/>
      <c r="D7" s="16"/>
      <c r="E7" s="19"/>
      <c r="F7" s="16"/>
      <c r="G7" s="19"/>
      <c r="H7" s="16"/>
      <c r="I7" s="20"/>
      <c r="J7" s="16"/>
      <c r="K7" s="17"/>
      <c r="L7" s="18"/>
      <c r="M7" s="17"/>
      <c r="N7" s="18"/>
      <c r="O7" s="17"/>
      <c r="P7" s="18"/>
      <c r="Q7" s="24"/>
      <c r="R7" s="18"/>
      <c r="S7" s="39"/>
      <c r="T7" s="39"/>
      <c r="U7" s="39"/>
      <c r="V7" s="39"/>
    </row>
    <row r="8" spans="1:22" s="38" customFormat="1" ht="15" x14ac:dyDescent="0.25">
      <c r="A8" s="46" t="s">
        <v>53</v>
      </c>
      <c r="B8" s="14"/>
      <c r="C8" s="14"/>
      <c r="D8" s="14"/>
      <c r="E8" s="15"/>
      <c r="F8" s="14"/>
      <c r="G8" s="15"/>
      <c r="H8" s="14"/>
      <c r="I8" s="21"/>
      <c r="J8" s="14"/>
      <c r="K8" s="44">
        <f>SUM(K9:K12)</f>
        <v>9286459.3800000008</v>
      </c>
      <c r="L8" s="6"/>
      <c r="M8" s="43">
        <f>K8/FreeStall_No.</f>
        <v>3714.5837520000005</v>
      </c>
      <c r="N8" s="52"/>
      <c r="O8" s="43">
        <f>M8/365</f>
        <v>10.176941786301372</v>
      </c>
      <c r="P8" s="52"/>
      <c r="Q8" s="43">
        <f>K8/FreeStall_No./FreeStall_Prod.</f>
        <v>15.890587577002057</v>
      </c>
      <c r="R8" s="6"/>
    </row>
    <row r="9" spans="1:22" s="38" customFormat="1" x14ac:dyDescent="0.3">
      <c r="A9" s="165" t="s">
        <v>37</v>
      </c>
      <c r="B9" s="144"/>
      <c r="C9" s="152">
        <f>FreeStall_Prod.</f>
        <v>233.76</v>
      </c>
      <c r="D9" s="144"/>
      <c r="E9" s="150" t="s">
        <v>39</v>
      </c>
      <c r="F9" s="144"/>
      <c r="G9" s="150">
        <v>2100</v>
      </c>
      <c r="H9" s="144"/>
      <c r="I9" s="190">
        <v>17.53</v>
      </c>
      <c r="J9" s="14"/>
      <c r="K9" s="74">
        <f>C9*G9*I9</f>
        <v>8605406.8800000008</v>
      </c>
      <c r="L9" s="6"/>
      <c r="M9" s="96">
        <f>K9/OpenLot_No.</f>
        <v>3442.1627520000002</v>
      </c>
      <c r="N9" s="6"/>
      <c r="O9" s="48">
        <f>M9/365</f>
        <v>9.4305828821917821</v>
      </c>
      <c r="P9" s="6"/>
      <c r="Q9" s="48">
        <f>K9/FreeStall_No./FreeStall_Prod.</f>
        <v>14.725200000000001</v>
      </c>
      <c r="R9" s="6"/>
    </row>
    <row r="10" spans="1:22" s="38" customFormat="1" x14ac:dyDescent="0.3">
      <c r="A10" s="152" t="s">
        <v>43</v>
      </c>
      <c r="B10" s="144"/>
      <c r="C10" s="152">
        <v>0.51</v>
      </c>
      <c r="D10" s="144"/>
      <c r="E10" s="150" t="s">
        <v>46</v>
      </c>
      <c r="F10" s="144"/>
      <c r="G10" s="150">
        <f>FreeStall_No.</f>
        <v>2500</v>
      </c>
      <c r="H10" s="144"/>
      <c r="I10" s="191">
        <v>120</v>
      </c>
      <c r="J10" s="14"/>
      <c r="K10" s="74">
        <f>C10*G10*I10</f>
        <v>153000</v>
      </c>
      <c r="L10" s="6"/>
      <c r="M10" s="96">
        <f>K10/OpenLot_No.</f>
        <v>61.2</v>
      </c>
      <c r="N10" s="6"/>
      <c r="O10" s="48">
        <f>M10/365</f>
        <v>0.16767123287671234</v>
      </c>
      <c r="P10" s="6"/>
      <c r="Q10" s="48">
        <f>K10/FreeStall_No./FreeStall_Prod.</f>
        <v>0.26180698151950721</v>
      </c>
      <c r="R10" s="6"/>
    </row>
    <row r="11" spans="1:22" s="38" customFormat="1" x14ac:dyDescent="0.3">
      <c r="A11" s="152" t="s">
        <v>44</v>
      </c>
      <c r="B11" s="144"/>
      <c r="C11" s="152">
        <v>0.51</v>
      </c>
      <c r="D11" s="144"/>
      <c r="E11" s="150" t="s">
        <v>46</v>
      </c>
      <c r="F11" s="144"/>
      <c r="G11" s="150">
        <f>FreeStall_No.</f>
        <v>2500</v>
      </c>
      <c r="H11" s="144"/>
      <c r="I11" s="191">
        <v>200</v>
      </c>
      <c r="J11" s="14"/>
      <c r="K11" s="74">
        <f>C11*G11*I11</f>
        <v>255000</v>
      </c>
      <c r="L11" s="6"/>
      <c r="M11" s="96">
        <f>K11/OpenLot_No.</f>
        <v>102</v>
      </c>
      <c r="N11" s="6"/>
      <c r="O11" s="48">
        <f>M11/365</f>
        <v>0.27945205479452057</v>
      </c>
      <c r="P11" s="6"/>
      <c r="Q11" s="48">
        <f>K11/FreeStall_No./FreeStall_Prod.</f>
        <v>0.43634496919917864</v>
      </c>
      <c r="R11" s="6"/>
    </row>
    <row r="12" spans="1:22" s="38" customFormat="1" x14ac:dyDescent="0.3">
      <c r="A12" s="152" t="s">
        <v>45</v>
      </c>
      <c r="B12" s="144"/>
      <c r="C12" s="189">
        <v>0.3</v>
      </c>
      <c r="D12" s="144"/>
      <c r="E12" s="150" t="s">
        <v>46</v>
      </c>
      <c r="F12" s="144"/>
      <c r="G12" s="150">
        <f>FreeStall_No.</f>
        <v>2500</v>
      </c>
      <c r="H12" s="144"/>
      <c r="I12" s="191">
        <v>364.07</v>
      </c>
      <c r="J12" s="14"/>
      <c r="K12" s="74">
        <f>C12*G12*I12</f>
        <v>273052.5</v>
      </c>
      <c r="L12" s="6"/>
      <c r="M12" s="96">
        <f>K12/OpenLot_No.</f>
        <v>109.221</v>
      </c>
      <c r="N12" s="6"/>
      <c r="O12" s="48">
        <f>M12/365</f>
        <v>0.29923561643835617</v>
      </c>
      <c r="P12" s="6"/>
      <c r="Q12" s="48">
        <f>K12/FreeStall_No./FreeStall_Prod.</f>
        <v>0.46723562628336757</v>
      </c>
      <c r="R12" s="6"/>
    </row>
    <row r="13" spans="1:22" s="38" customFormat="1" ht="6.75" customHeight="1" x14ac:dyDescent="0.3">
      <c r="A13" s="14"/>
      <c r="B13" s="14"/>
      <c r="C13" s="14"/>
      <c r="D13" s="14"/>
      <c r="E13" s="15"/>
      <c r="F13" s="14"/>
      <c r="G13" s="15"/>
      <c r="H13" s="14"/>
      <c r="I13" s="21"/>
      <c r="J13" s="14"/>
      <c r="K13" s="45"/>
      <c r="L13" s="6"/>
      <c r="M13" s="22"/>
      <c r="N13" s="6"/>
      <c r="O13" s="22"/>
      <c r="P13" s="6"/>
      <c r="Q13" s="22"/>
      <c r="R13" s="6"/>
    </row>
    <row r="14" spans="1:22" s="38" customFormat="1" x14ac:dyDescent="0.3">
      <c r="A14" s="13" t="s">
        <v>47</v>
      </c>
      <c r="B14" s="14"/>
      <c r="C14" s="14"/>
      <c r="D14" s="14"/>
      <c r="E14" s="15"/>
      <c r="F14" s="14"/>
      <c r="G14" s="15"/>
      <c r="H14" s="14"/>
      <c r="I14" s="21"/>
      <c r="J14" s="14"/>
      <c r="K14" s="45"/>
      <c r="L14" s="6"/>
      <c r="M14" s="22"/>
      <c r="N14" s="6"/>
      <c r="O14" s="22"/>
      <c r="P14" s="6"/>
      <c r="Q14" s="22"/>
      <c r="R14" s="6"/>
    </row>
    <row r="15" spans="1:22" s="38" customFormat="1" x14ac:dyDescent="0.3">
      <c r="A15" s="23" t="s">
        <v>70</v>
      </c>
      <c r="B15" s="14"/>
      <c r="C15" s="14"/>
      <c r="D15" s="14"/>
      <c r="E15" s="15"/>
      <c r="F15" s="14"/>
      <c r="G15" s="15"/>
      <c r="H15" s="14"/>
      <c r="I15" s="21"/>
      <c r="J15" s="14"/>
      <c r="K15" s="44">
        <f>SUM(K16:K31)</f>
        <v>5514158.606770833</v>
      </c>
      <c r="L15" s="52"/>
      <c r="M15" s="43">
        <f>SUM(M16:M31)</f>
        <v>2205.6634427083327</v>
      </c>
      <c r="N15" s="52"/>
      <c r="O15" s="43">
        <f>SUM(O16:O31)</f>
        <v>6.0429135416666657</v>
      </c>
      <c r="P15" s="52"/>
      <c r="Q15" s="43">
        <f t="shared" ref="Q15:Q31" si="0">K15/FreeStall_No./FreeStall_Prod.</f>
        <v>9.4355896761992355</v>
      </c>
      <c r="R15" s="52"/>
    </row>
    <row r="16" spans="1:22" s="38" customFormat="1" x14ac:dyDescent="0.3">
      <c r="A16" s="26" t="s">
        <v>54</v>
      </c>
      <c r="B16" s="14"/>
      <c r="C16" s="50">
        <v>2.2669921874999996</v>
      </c>
      <c r="D16" s="98"/>
      <c r="E16" s="27" t="s">
        <v>46</v>
      </c>
      <c r="F16" s="14"/>
      <c r="G16" s="150">
        <f t="shared" ref="G16:G31" si="1">FreeStall_No.</f>
        <v>2500</v>
      </c>
      <c r="H16" s="14"/>
      <c r="I16" s="42">
        <v>235</v>
      </c>
      <c r="J16" s="14"/>
      <c r="K16" s="74">
        <f>C16*G16*I16</f>
        <v>1331857.9101562498</v>
      </c>
      <c r="L16" s="6"/>
      <c r="M16" s="51">
        <f t="shared" ref="M16:M31" si="2">K16/FreeStall_No.</f>
        <v>532.74316406249989</v>
      </c>
      <c r="N16" s="6"/>
      <c r="O16" s="51">
        <f>M16/365</f>
        <v>1.4595703124999997</v>
      </c>
      <c r="P16" s="6"/>
      <c r="Q16" s="48">
        <f t="shared" si="0"/>
        <v>2.2790176422933772</v>
      </c>
      <c r="R16" s="6"/>
    </row>
    <row r="17" spans="1:21" s="38" customFormat="1" x14ac:dyDescent="0.3">
      <c r="A17" s="26" t="s">
        <v>55</v>
      </c>
      <c r="B17" s="14"/>
      <c r="C17" s="50">
        <v>0.69150390624999991</v>
      </c>
      <c r="D17" s="98"/>
      <c r="E17" s="27" t="s">
        <v>46</v>
      </c>
      <c r="F17" s="14"/>
      <c r="G17" s="150">
        <f t="shared" si="1"/>
        <v>2500</v>
      </c>
      <c r="H17" s="14"/>
      <c r="I17" s="42">
        <v>211</v>
      </c>
      <c r="J17" s="14"/>
      <c r="K17" s="74">
        <f t="shared" ref="K17:K31" si="3">C17*G17*I17</f>
        <v>364768.31054687494</v>
      </c>
      <c r="L17" s="6"/>
      <c r="M17" s="51">
        <f t="shared" si="2"/>
        <v>145.90732421874998</v>
      </c>
      <c r="N17" s="6"/>
      <c r="O17" s="51">
        <f t="shared" ref="O17:O31" si="4">M17/365</f>
        <v>0.39974609374999992</v>
      </c>
      <c r="P17" s="6"/>
      <c r="Q17" s="48">
        <f t="shared" si="0"/>
        <v>0.62417575384475521</v>
      </c>
      <c r="R17" s="6"/>
      <c r="T17" s="354"/>
      <c r="U17" s="354"/>
    </row>
    <row r="18" spans="1:21" s="38" customFormat="1" x14ac:dyDescent="0.3">
      <c r="A18" s="26" t="s">
        <v>56</v>
      </c>
      <c r="B18" s="14"/>
      <c r="C18" s="50">
        <v>6.6536458333333326E-2</v>
      </c>
      <c r="D18" s="98"/>
      <c r="E18" s="27" t="s">
        <v>46</v>
      </c>
      <c r="F18" s="14"/>
      <c r="G18" s="150">
        <f t="shared" si="1"/>
        <v>2500</v>
      </c>
      <c r="H18" s="14"/>
      <c r="I18" s="42">
        <v>231</v>
      </c>
      <c r="J18" s="14"/>
      <c r="K18" s="74">
        <f t="shared" si="3"/>
        <v>38424.804687499993</v>
      </c>
      <c r="L18" s="6"/>
      <c r="M18" s="51">
        <f t="shared" si="2"/>
        <v>15.369921874999998</v>
      </c>
      <c r="N18" s="6"/>
      <c r="O18" s="51">
        <f t="shared" si="4"/>
        <v>4.2109374999999991E-2</v>
      </c>
      <c r="P18" s="6"/>
      <c r="Q18" s="48">
        <f t="shared" si="0"/>
        <v>6.5750863599418202E-2</v>
      </c>
      <c r="R18" s="6"/>
      <c r="T18" s="354"/>
      <c r="U18" s="354"/>
    </row>
    <row r="19" spans="1:21" s="38" customFormat="1" x14ac:dyDescent="0.3">
      <c r="A19" s="26" t="s">
        <v>57</v>
      </c>
      <c r="B19" s="14"/>
      <c r="C19" s="50">
        <v>7.12890625E-2</v>
      </c>
      <c r="D19" s="98"/>
      <c r="E19" s="27" t="s">
        <v>46</v>
      </c>
      <c r="F19" s="14"/>
      <c r="G19" s="150">
        <f t="shared" si="1"/>
        <v>2500</v>
      </c>
      <c r="H19" s="14"/>
      <c r="I19" s="42">
        <v>55</v>
      </c>
      <c r="J19" s="14"/>
      <c r="K19" s="74">
        <f t="shared" si="3"/>
        <v>9802.24609375</v>
      </c>
      <c r="L19" s="6"/>
      <c r="M19" s="51">
        <f t="shared" si="2"/>
        <v>3.9208984375</v>
      </c>
      <c r="N19" s="6"/>
      <c r="O19" s="51">
        <f t="shared" si="4"/>
        <v>1.07421875E-2</v>
      </c>
      <c r="P19" s="6"/>
      <c r="Q19" s="48">
        <f t="shared" si="0"/>
        <v>1.6773179489647502E-2</v>
      </c>
      <c r="R19" s="6"/>
      <c r="T19" s="354"/>
      <c r="U19" s="354"/>
    </row>
    <row r="20" spans="1:21" s="38" customFormat="1" x14ac:dyDescent="0.3">
      <c r="A20" s="26" t="s">
        <v>58</v>
      </c>
      <c r="B20" s="14"/>
      <c r="C20" s="50">
        <v>6.0728776041666679</v>
      </c>
      <c r="D20" s="98"/>
      <c r="E20" s="27" t="s">
        <v>46</v>
      </c>
      <c r="F20" s="14"/>
      <c r="G20" s="150">
        <f t="shared" si="1"/>
        <v>2500</v>
      </c>
      <c r="H20" s="14"/>
      <c r="I20" s="42">
        <v>40</v>
      </c>
      <c r="J20" s="14"/>
      <c r="K20" s="74">
        <f t="shared" si="3"/>
        <v>607287.76041666674</v>
      </c>
      <c r="L20" s="6"/>
      <c r="M20" s="51">
        <f t="shared" si="2"/>
        <v>242.91510416666671</v>
      </c>
      <c r="N20" s="6"/>
      <c r="O20" s="51">
        <f t="shared" si="4"/>
        <v>0.66552083333333345</v>
      </c>
      <c r="P20" s="6"/>
      <c r="Q20" s="48">
        <f t="shared" si="0"/>
        <v>1.0391645455452889</v>
      </c>
      <c r="R20" s="6"/>
      <c r="T20" s="354"/>
      <c r="U20" s="354"/>
    </row>
    <row r="21" spans="1:21" s="38" customFormat="1" x14ac:dyDescent="0.3">
      <c r="A21" s="26" t="s">
        <v>59</v>
      </c>
      <c r="B21" s="14"/>
      <c r="C21" s="50">
        <v>0.42773437499999994</v>
      </c>
      <c r="D21" s="98"/>
      <c r="E21" s="27" t="s">
        <v>46</v>
      </c>
      <c r="F21" s="14"/>
      <c r="G21" s="150">
        <f t="shared" si="1"/>
        <v>2500</v>
      </c>
      <c r="H21" s="14"/>
      <c r="I21" s="42">
        <v>160</v>
      </c>
      <c r="J21" s="14"/>
      <c r="K21" s="74">
        <f t="shared" si="3"/>
        <v>171093.74999999997</v>
      </c>
      <c r="L21" s="6"/>
      <c r="M21" s="51">
        <f t="shared" si="2"/>
        <v>68.437499999999986</v>
      </c>
      <c r="N21" s="6"/>
      <c r="O21" s="51">
        <f t="shared" si="4"/>
        <v>0.18749999999999997</v>
      </c>
      <c r="P21" s="6"/>
      <c r="Q21" s="48">
        <f t="shared" si="0"/>
        <v>0.29276822381930179</v>
      </c>
      <c r="R21" s="6"/>
      <c r="T21" s="354"/>
      <c r="U21" s="354"/>
    </row>
    <row r="22" spans="1:21" s="38" customFormat="1" x14ac:dyDescent="0.3">
      <c r="A22" s="26" t="s">
        <v>60</v>
      </c>
      <c r="B22" s="14"/>
      <c r="C22" s="50">
        <v>1.623251953125</v>
      </c>
      <c r="D22" s="98"/>
      <c r="E22" s="27" t="s">
        <v>46</v>
      </c>
      <c r="F22" s="14"/>
      <c r="G22" s="150">
        <f t="shared" si="1"/>
        <v>2500</v>
      </c>
      <c r="H22" s="14"/>
      <c r="I22" s="42">
        <v>252.2</v>
      </c>
      <c r="J22" s="14"/>
      <c r="K22" s="74">
        <f t="shared" si="3"/>
        <v>1023460.3564453125</v>
      </c>
      <c r="L22" s="6"/>
      <c r="M22" s="51">
        <f t="shared" si="2"/>
        <v>409.38414257812502</v>
      </c>
      <c r="N22" s="6"/>
      <c r="O22" s="51">
        <f t="shared" si="4"/>
        <v>1.1216003906250001</v>
      </c>
      <c r="P22" s="6"/>
      <c r="Q22" s="48">
        <f t="shared" si="0"/>
        <v>1.7513010890576874</v>
      </c>
      <c r="R22" s="6"/>
      <c r="T22" s="354"/>
      <c r="U22" s="354"/>
    </row>
    <row r="23" spans="1:21" s="38" customFormat="1" x14ac:dyDescent="0.3">
      <c r="A23" s="26" t="s">
        <v>61</v>
      </c>
      <c r="B23" s="14"/>
      <c r="C23" s="50">
        <v>0</v>
      </c>
      <c r="D23" s="98"/>
      <c r="E23" s="27" t="s">
        <v>46</v>
      </c>
      <c r="F23" s="14"/>
      <c r="G23" s="150">
        <f t="shared" si="1"/>
        <v>2500</v>
      </c>
      <c r="H23" s="14"/>
      <c r="I23" s="42">
        <v>230</v>
      </c>
      <c r="J23" s="14"/>
      <c r="K23" s="74">
        <f t="shared" si="3"/>
        <v>0</v>
      </c>
      <c r="L23" s="6"/>
      <c r="M23" s="51">
        <f t="shared" si="2"/>
        <v>0</v>
      </c>
      <c r="N23" s="6"/>
      <c r="O23" s="51">
        <f t="shared" si="4"/>
        <v>0</v>
      </c>
      <c r="P23" s="6"/>
      <c r="Q23" s="48">
        <f t="shared" si="0"/>
        <v>0</v>
      </c>
      <c r="R23" s="6"/>
      <c r="T23" s="354"/>
      <c r="U23" s="354"/>
    </row>
    <row r="24" spans="1:21" s="38" customFormat="1" x14ac:dyDescent="0.3">
      <c r="A24" s="26" t="s">
        <v>62</v>
      </c>
      <c r="B24" s="14"/>
      <c r="C24" s="50">
        <v>0.41951236979166662</v>
      </c>
      <c r="D24" s="98"/>
      <c r="E24" s="27" t="s">
        <v>46</v>
      </c>
      <c r="F24" s="14"/>
      <c r="G24" s="150">
        <f t="shared" si="1"/>
        <v>2500</v>
      </c>
      <c r="H24" s="14"/>
      <c r="I24" s="42">
        <v>305</v>
      </c>
      <c r="J24" s="14"/>
      <c r="K24" s="74">
        <f t="shared" si="3"/>
        <v>319878.18196614581</v>
      </c>
      <c r="L24" s="6"/>
      <c r="M24" s="51">
        <f t="shared" si="2"/>
        <v>127.95127278645833</v>
      </c>
      <c r="N24" s="6"/>
      <c r="O24" s="51">
        <f t="shared" si="4"/>
        <v>0.35055143229166669</v>
      </c>
      <c r="P24" s="6"/>
      <c r="Q24" s="48">
        <f t="shared" si="0"/>
        <v>0.54736170767649872</v>
      </c>
      <c r="R24" s="6"/>
      <c r="T24" s="354"/>
      <c r="U24" s="354"/>
    </row>
    <row r="25" spans="1:21" s="38" customFormat="1" x14ac:dyDescent="0.3">
      <c r="A25" s="26" t="s">
        <v>63</v>
      </c>
      <c r="B25" s="14"/>
      <c r="C25" s="50">
        <v>0.81749544270833341</v>
      </c>
      <c r="D25" s="98"/>
      <c r="E25" s="27" t="s">
        <v>46</v>
      </c>
      <c r="F25" s="14"/>
      <c r="G25" s="150">
        <f t="shared" si="1"/>
        <v>2500</v>
      </c>
      <c r="H25" s="14"/>
      <c r="I25" s="42">
        <v>250</v>
      </c>
      <c r="J25" s="14"/>
      <c r="K25" s="74">
        <f t="shared" si="3"/>
        <v>510934.65169270837</v>
      </c>
      <c r="L25" s="6"/>
      <c r="M25" s="51">
        <f t="shared" si="2"/>
        <v>204.37386067708334</v>
      </c>
      <c r="N25" s="6"/>
      <c r="O25" s="51">
        <f t="shared" si="4"/>
        <v>0.55992838541666667</v>
      </c>
      <c r="P25" s="6"/>
      <c r="Q25" s="48">
        <f t="shared" si="0"/>
        <v>0.87428927394371725</v>
      </c>
      <c r="R25" s="6"/>
      <c r="T25" s="354"/>
      <c r="U25" s="354"/>
    </row>
    <row r="26" spans="1:21" s="38" customFormat="1" x14ac:dyDescent="0.3">
      <c r="A26" s="26" t="s">
        <v>64</v>
      </c>
      <c r="B26" s="14"/>
      <c r="C26" s="50">
        <v>0.81269531249999993</v>
      </c>
      <c r="D26" s="98"/>
      <c r="E26" s="27" t="s">
        <v>46</v>
      </c>
      <c r="F26" s="14"/>
      <c r="G26" s="150">
        <f t="shared" si="1"/>
        <v>2500</v>
      </c>
      <c r="H26" s="14"/>
      <c r="I26" s="42">
        <v>350</v>
      </c>
      <c r="J26" s="14"/>
      <c r="K26" s="74">
        <f t="shared" si="3"/>
        <v>711108.39843749988</v>
      </c>
      <c r="L26" s="6"/>
      <c r="M26" s="51">
        <f t="shared" si="2"/>
        <v>284.44335937499994</v>
      </c>
      <c r="N26" s="6"/>
      <c r="O26" s="51">
        <f t="shared" si="4"/>
        <v>0.77929687499999989</v>
      </c>
      <c r="P26" s="6"/>
      <c r="Q26" s="48">
        <f t="shared" si="0"/>
        <v>1.216817930248973</v>
      </c>
      <c r="R26" s="6"/>
      <c r="T26" s="354"/>
      <c r="U26" s="354"/>
    </row>
    <row r="27" spans="1:21" s="38" customFormat="1" x14ac:dyDescent="0.3">
      <c r="A27" s="26" t="s">
        <v>65</v>
      </c>
      <c r="B27" s="14"/>
      <c r="C27" s="50">
        <v>0.29941406249999997</v>
      </c>
      <c r="D27" s="98"/>
      <c r="E27" s="27" t="s">
        <v>46</v>
      </c>
      <c r="F27" s="14"/>
      <c r="G27" s="150">
        <f t="shared" si="1"/>
        <v>2500</v>
      </c>
      <c r="H27" s="14"/>
      <c r="I27" s="42">
        <v>165</v>
      </c>
      <c r="J27" s="14"/>
      <c r="K27" s="74">
        <f t="shared" si="3"/>
        <v>123508.30078124999</v>
      </c>
      <c r="L27" s="6"/>
      <c r="M27" s="51">
        <f t="shared" si="2"/>
        <v>49.403320312499993</v>
      </c>
      <c r="N27" s="6"/>
      <c r="O27" s="51">
        <f t="shared" si="4"/>
        <v>0.13535156249999997</v>
      </c>
      <c r="P27" s="6"/>
      <c r="Q27" s="48">
        <f t="shared" si="0"/>
        <v>0.21134206156955851</v>
      </c>
      <c r="R27" s="6"/>
      <c r="T27" s="354"/>
      <c r="U27" s="354"/>
    </row>
    <row r="28" spans="1:21" s="38" customFormat="1" x14ac:dyDescent="0.3">
      <c r="A28" s="26" t="s">
        <v>66</v>
      </c>
      <c r="B28" s="14"/>
      <c r="C28" s="50">
        <v>1.6634114583333331E-2</v>
      </c>
      <c r="D28" s="98"/>
      <c r="E28" s="27" t="s">
        <v>46</v>
      </c>
      <c r="F28" s="14"/>
      <c r="G28" s="150">
        <f t="shared" si="1"/>
        <v>2500</v>
      </c>
      <c r="H28" s="14"/>
      <c r="I28" s="42">
        <v>875</v>
      </c>
      <c r="J28" s="14"/>
      <c r="K28" s="74">
        <f t="shared" si="3"/>
        <v>36387.125651041664</v>
      </c>
      <c r="L28" s="6"/>
      <c r="M28" s="51">
        <f t="shared" si="2"/>
        <v>14.554850260416666</v>
      </c>
      <c r="N28" s="6"/>
      <c r="O28" s="51">
        <f t="shared" si="4"/>
        <v>3.9876302083333329E-2</v>
      </c>
      <c r="P28" s="6"/>
      <c r="Q28" s="48">
        <f t="shared" si="0"/>
        <v>6.2264075378236937E-2</v>
      </c>
      <c r="R28" s="6"/>
      <c r="T28" s="354"/>
      <c r="U28" s="354"/>
    </row>
    <row r="29" spans="1:21" s="38" customFormat="1" x14ac:dyDescent="0.3">
      <c r="A29" s="26" t="s">
        <v>67</v>
      </c>
      <c r="B29" s="14"/>
      <c r="C29" s="50">
        <v>0.17394531249999998</v>
      </c>
      <c r="D29" s="98"/>
      <c r="E29" s="27" t="s">
        <v>46</v>
      </c>
      <c r="F29" s="14"/>
      <c r="G29" s="150">
        <f t="shared" si="1"/>
        <v>2500</v>
      </c>
      <c r="H29" s="14"/>
      <c r="I29" s="42">
        <v>515</v>
      </c>
      <c r="J29" s="14"/>
      <c r="K29" s="74">
        <f t="shared" si="3"/>
        <v>223954.58984374997</v>
      </c>
      <c r="L29" s="6"/>
      <c r="M29" s="51">
        <f t="shared" si="2"/>
        <v>89.581835937499989</v>
      </c>
      <c r="N29" s="6"/>
      <c r="O29" s="51">
        <f t="shared" si="4"/>
        <v>0.24542968749999997</v>
      </c>
      <c r="P29" s="6"/>
      <c r="Q29" s="48">
        <f t="shared" si="0"/>
        <v>0.38322140630347362</v>
      </c>
      <c r="R29" s="6"/>
      <c r="T29" s="354"/>
      <c r="U29" s="354"/>
    </row>
    <row r="30" spans="1:21" s="38" customFormat="1" x14ac:dyDescent="0.3">
      <c r="A30" s="26" t="s">
        <v>68</v>
      </c>
      <c r="B30" s="14"/>
      <c r="C30" s="50">
        <v>5.9407552083333322E-3</v>
      </c>
      <c r="D30" s="98"/>
      <c r="E30" s="27" t="s">
        <v>46</v>
      </c>
      <c r="F30" s="14"/>
      <c r="G30" s="150">
        <f t="shared" si="1"/>
        <v>2500</v>
      </c>
      <c r="H30" s="14"/>
      <c r="I30" s="42">
        <v>1284</v>
      </c>
      <c r="J30" s="14"/>
      <c r="K30" s="74">
        <f t="shared" si="3"/>
        <v>19069.824218749996</v>
      </c>
      <c r="L30" s="6"/>
      <c r="M30" s="51">
        <f t="shared" si="2"/>
        <v>7.6279296874999982</v>
      </c>
      <c r="N30" s="6"/>
      <c r="O30" s="51">
        <f t="shared" si="4"/>
        <v>2.0898437499999995E-2</v>
      </c>
      <c r="P30" s="6"/>
      <c r="Q30" s="48">
        <f t="shared" si="0"/>
        <v>3.2631458279859679E-2</v>
      </c>
      <c r="R30" s="6"/>
      <c r="T30" s="354"/>
      <c r="U30" s="354"/>
    </row>
    <row r="31" spans="1:21" s="38" customFormat="1" x14ac:dyDescent="0.3">
      <c r="A31" s="26" t="s">
        <v>69</v>
      </c>
      <c r="B31" s="14"/>
      <c r="C31" s="50">
        <v>1.0645833333333332E-2</v>
      </c>
      <c r="D31" s="98"/>
      <c r="E31" s="27" t="s">
        <v>46</v>
      </c>
      <c r="F31" s="14"/>
      <c r="G31" s="150">
        <f t="shared" si="1"/>
        <v>2500</v>
      </c>
      <c r="H31" s="14"/>
      <c r="I31" s="42">
        <v>850</v>
      </c>
      <c r="J31" s="14"/>
      <c r="K31" s="74">
        <f t="shared" si="3"/>
        <v>22622.395833333328</v>
      </c>
      <c r="L31" s="6"/>
      <c r="M31" s="51">
        <f t="shared" si="2"/>
        <v>9.0489583333333314</v>
      </c>
      <c r="N31" s="6"/>
      <c r="O31" s="51">
        <f t="shared" si="4"/>
        <v>2.479166666666666E-2</v>
      </c>
      <c r="P31" s="6"/>
      <c r="Q31" s="48">
        <f t="shared" si="0"/>
        <v>3.8710465149441015E-2</v>
      </c>
      <c r="R31" s="6"/>
      <c r="T31" s="354"/>
      <c r="U31" s="354"/>
    </row>
    <row r="32" spans="1:21" s="38" customFormat="1" ht="7.5" customHeight="1" x14ac:dyDescent="0.3">
      <c r="A32" s="14"/>
      <c r="B32" s="14"/>
      <c r="C32" s="14"/>
      <c r="D32" s="14"/>
      <c r="E32" s="15"/>
      <c r="F32" s="14"/>
      <c r="G32" s="15"/>
      <c r="H32" s="14"/>
      <c r="I32" s="21"/>
      <c r="J32" s="14"/>
      <c r="K32" s="45"/>
      <c r="L32" s="6"/>
      <c r="M32" s="22"/>
      <c r="N32" s="6"/>
      <c r="O32" s="22"/>
      <c r="P32" s="6"/>
      <c r="Q32" s="22"/>
      <c r="R32" s="6"/>
    </row>
    <row r="33" spans="1:21" s="38" customFormat="1" x14ac:dyDescent="0.3">
      <c r="A33" s="23" t="s">
        <v>76</v>
      </c>
      <c r="B33" s="14"/>
      <c r="C33" s="14"/>
      <c r="D33" s="14"/>
      <c r="E33" s="15"/>
      <c r="F33" s="14"/>
      <c r="G33" s="15"/>
      <c r="H33" s="14"/>
      <c r="I33" s="21"/>
      <c r="J33" s="14"/>
      <c r="K33" s="44">
        <f>SUM(K34:K43)</f>
        <v>2946443.3360677082</v>
      </c>
      <c r="L33" s="6"/>
      <c r="M33" s="44">
        <f>SUM(M34:M43)</f>
        <v>1178.5773344270835</v>
      </c>
      <c r="N33" s="6"/>
      <c r="O33" s="43">
        <f>SUM(O34:O43)</f>
        <v>3.2289789984303656</v>
      </c>
      <c r="P33" s="6"/>
      <c r="Q33" s="43">
        <f>SUM(Q34:Q43)</f>
        <v>5.0418263793081914</v>
      </c>
      <c r="R33" s="6"/>
      <c r="U33" s="354"/>
    </row>
    <row r="34" spans="1:21" s="38" customFormat="1" x14ac:dyDescent="0.3">
      <c r="A34" s="26" t="s">
        <v>77</v>
      </c>
      <c r="B34" s="14"/>
      <c r="C34" s="50">
        <v>1</v>
      </c>
      <c r="D34" s="14"/>
      <c r="E34" s="27" t="s">
        <v>46</v>
      </c>
      <c r="F34" s="14"/>
      <c r="G34" s="150">
        <f t="shared" ref="G34:G43" si="5">FreeStall_No.</f>
        <v>2500</v>
      </c>
      <c r="H34" s="14"/>
      <c r="I34" s="42">
        <f>312+49.93</f>
        <v>361.93</v>
      </c>
      <c r="J34" s="14"/>
      <c r="K34" s="74">
        <f t="shared" ref="K34:K43" si="6">C34*G34*I34</f>
        <v>904825</v>
      </c>
      <c r="L34" s="6"/>
      <c r="M34" s="51">
        <f t="shared" ref="M34:M43" si="7">K34/FreeStall_No.</f>
        <v>361.93</v>
      </c>
      <c r="N34" s="6"/>
      <c r="O34" s="51">
        <f t="shared" ref="O34:O47" si="8">M34/365</f>
        <v>0.99158904109589041</v>
      </c>
      <c r="P34" s="6"/>
      <c r="Q34" s="48">
        <f t="shared" ref="Q34:Q43" si="9">K34/FreeStall_No./FreeStall_Prod.</f>
        <v>1.5482973990417523</v>
      </c>
      <c r="R34" s="6"/>
    </row>
    <row r="35" spans="1:21" s="38" customFormat="1" x14ac:dyDescent="0.3">
      <c r="A35" s="26" t="s">
        <v>78</v>
      </c>
      <c r="B35" s="14"/>
      <c r="C35" s="50">
        <v>1</v>
      </c>
      <c r="D35" s="14"/>
      <c r="E35" s="27" t="s">
        <v>46</v>
      </c>
      <c r="F35" s="14"/>
      <c r="G35" s="150">
        <f t="shared" si="5"/>
        <v>2500</v>
      </c>
      <c r="H35" s="14"/>
      <c r="I35" s="42">
        <v>205</v>
      </c>
      <c r="J35" s="14"/>
      <c r="K35" s="74">
        <f t="shared" si="6"/>
        <v>512500</v>
      </c>
      <c r="L35" s="6"/>
      <c r="M35" s="51">
        <f t="shared" si="7"/>
        <v>205</v>
      </c>
      <c r="N35" s="6"/>
      <c r="O35" s="51">
        <f t="shared" si="8"/>
        <v>0.56164383561643838</v>
      </c>
      <c r="P35" s="6"/>
      <c r="Q35" s="48">
        <f t="shared" si="9"/>
        <v>0.8769678302532512</v>
      </c>
      <c r="R35" s="6"/>
    </row>
    <row r="36" spans="1:21" s="38" customFormat="1" x14ac:dyDescent="0.3">
      <c r="A36" s="26" t="s">
        <v>75</v>
      </c>
      <c r="B36" s="14"/>
      <c r="C36" s="50">
        <v>1</v>
      </c>
      <c r="D36" s="14"/>
      <c r="E36" s="27" t="s">
        <v>46</v>
      </c>
      <c r="F36" s="14"/>
      <c r="G36" s="150">
        <f t="shared" si="5"/>
        <v>2500</v>
      </c>
      <c r="H36" s="14"/>
      <c r="I36" s="42">
        <v>73.13</v>
      </c>
      <c r="J36" s="14"/>
      <c r="K36" s="74">
        <f t="shared" si="6"/>
        <v>182825</v>
      </c>
      <c r="L36" s="6"/>
      <c r="M36" s="51">
        <f t="shared" si="7"/>
        <v>73.13</v>
      </c>
      <c r="N36" s="6"/>
      <c r="O36" s="51">
        <f t="shared" si="8"/>
        <v>0.20035616438356163</v>
      </c>
      <c r="P36" s="6"/>
      <c r="Q36" s="48">
        <f t="shared" si="9"/>
        <v>0.31284223134839151</v>
      </c>
      <c r="R36" s="6"/>
    </row>
    <row r="37" spans="1:21" s="38" customFormat="1" x14ac:dyDescent="0.3">
      <c r="A37" s="26" t="s">
        <v>79</v>
      </c>
      <c r="B37" s="14"/>
      <c r="C37" s="50">
        <v>1</v>
      </c>
      <c r="D37" s="14"/>
      <c r="E37" s="27" t="s">
        <v>46</v>
      </c>
      <c r="F37" s="14"/>
      <c r="G37" s="150">
        <f t="shared" si="5"/>
        <v>2500</v>
      </c>
      <c r="H37" s="14"/>
      <c r="I37" s="42">
        <v>229.21</v>
      </c>
      <c r="J37" s="14"/>
      <c r="K37" s="74">
        <f t="shared" si="6"/>
        <v>573025</v>
      </c>
      <c r="L37" s="6"/>
      <c r="M37" s="51">
        <f t="shared" si="7"/>
        <v>229.21</v>
      </c>
      <c r="N37" s="6"/>
      <c r="O37" s="51">
        <f t="shared" si="8"/>
        <v>0.6279726027397261</v>
      </c>
      <c r="P37" s="6"/>
      <c r="Q37" s="48">
        <f t="shared" si="9"/>
        <v>0.98053559206023277</v>
      </c>
      <c r="R37" s="6"/>
    </row>
    <row r="38" spans="1:21" s="38" customFormat="1" x14ac:dyDescent="0.3">
      <c r="A38" s="26" t="s">
        <v>80</v>
      </c>
      <c r="B38" s="14"/>
      <c r="C38" s="50">
        <v>1</v>
      </c>
      <c r="D38" s="14"/>
      <c r="E38" s="27" t="s">
        <v>46</v>
      </c>
      <c r="F38" s="14"/>
      <c r="G38" s="150">
        <f t="shared" si="5"/>
        <v>2500</v>
      </c>
      <c r="H38" s="14"/>
      <c r="I38" s="42">
        <v>72.099999999999994</v>
      </c>
      <c r="J38" s="14"/>
      <c r="K38" s="74">
        <f t="shared" si="6"/>
        <v>180250</v>
      </c>
      <c r="L38" s="6"/>
      <c r="M38" s="51">
        <f t="shared" si="7"/>
        <v>72.099999999999994</v>
      </c>
      <c r="N38" s="6"/>
      <c r="O38" s="51">
        <f t="shared" si="8"/>
        <v>0.19753424657534244</v>
      </c>
      <c r="P38" s="6"/>
      <c r="Q38" s="48">
        <f t="shared" si="9"/>
        <v>0.30843600273785077</v>
      </c>
      <c r="R38" s="6"/>
    </row>
    <row r="39" spans="1:21" s="38" customFormat="1" x14ac:dyDescent="0.3">
      <c r="A39" s="26" t="s">
        <v>81</v>
      </c>
      <c r="B39" s="14"/>
      <c r="C39" s="50">
        <v>1</v>
      </c>
      <c r="D39" s="14"/>
      <c r="E39" s="27" t="s">
        <v>46</v>
      </c>
      <c r="F39" s="14"/>
      <c r="G39" s="150">
        <f t="shared" si="5"/>
        <v>2500</v>
      </c>
      <c r="H39" s="14"/>
      <c r="I39" s="42">
        <v>39.18</v>
      </c>
      <c r="J39" s="14"/>
      <c r="K39" s="74">
        <f t="shared" si="6"/>
        <v>97950</v>
      </c>
      <c r="L39" s="6"/>
      <c r="M39" s="51">
        <f t="shared" si="7"/>
        <v>39.18</v>
      </c>
      <c r="N39" s="6"/>
      <c r="O39" s="51">
        <f t="shared" si="8"/>
        <v>0.10734246575342465</v>
      </c>
      <c r="P39" s="6"/>
      <c r="Q39" s="48">
        <f t="shared" si="9"/>
        <v>0.16760780287474333</v>
      </c>
      <c r="R39" s="6"/>
    </row>
    <row r="40" spans="1:21" s="38" customFormat="1" x14ac:dyDescent="0.3">
      <c r="A40" s="28" t="s">
        <v>73</v>
      </c>
      <c r="B40" s="14"/>
      <c r="C40" s="50">
        <v>1</v>
      </c>
      <c r="D40" s="14"/>
      <c r="E40" s="27" t="s">
        <v>46</v>
      </c>
      <c r="F40" s="14"/>
      <c r="G40" s="150">
        <f t="shared" si="5"/>
        <v>2500</v>
      </c>
      <c r="H40" s="14"/>
      <c r="I40" s="42">
        <v>64.94</v>
      </c>
      <c r="J40" s="14"/>
      <c r="K40" s="74">
        <f t="shared" si="6"/>
        <v>162350</v>
      </c>
      <c r="L40" s="6"/>
      <c r="M40" s="51">
        <f t="shared" si="7"/>
        <v>64.94</v>
      </c>
      <c r="N40" s="6"/>
      <c r="O40" s="51">
        <f t="shared" si="8"/>
        <v>0.17791780821917808</v>
      </c>
      <c r="P40" s="6"/>
      <c r="Q40" s="48">
        <f t="shared" si="9"/>
        <v>0.27780629705681043</v>
      </c>
      <c r="R40" s="6"/>
    </row>
    <row r="41" spans="1:21" s="38" customFormat="1" x14ac:dyDescent="0.3">
      <c r="A41" s="29" t="s">
        <v>74</v>
      </c>
      <c r="B41" s="14"/>
      <c r="C41" s="50">
        <v>1</v>
      </c>
      <c r="D41" s="14"/>
      <c r="E41" s="27" t="s">
        <v>46</v>
      </c>
      <c r="F41" s="14"/>
      <c r="G41" s="150">
        <f t="shared" si="5"/>
        <v>2500</v>
      </c>
      <c r="H41" s="14"/>
      <c r="I41" s="42">
        <v>36.630000000000003</v>
      </c>
      <c r="J41" s="14"/>
      <c r="K41" s="74">
        <f t="shared" si="6"/>
        <v>91575</v>
      </c>
      <c r="L41" s="6"/>
      <c r="M41" s="51">
        <f t="shared" si="7"/>
        <v>36.630000000000003</v>
      </c>
      <c r="N41" s="6"/>
      <c r="O41" s="51">
        <f t="shared" si="8"/>
        <v>0.10035616438356165</v>
      </c>
      <c r="P41" s="6"/>
      <c r="Q41" s="48">
        <f t="shared" si="9"/>
        <v>0.15669917864476388</v>
      </c>
      <c r="R41" s="6"/>
    </row>
    <row r="42" spans="1:21" s="38" customFormat="1" x14ac:dyDescent="0.3">
      <c r="A42" s="26" t="s">
        <v>83</v>
      </c>
      <c r="B42" s="14"/>
      <c r="C42" s="50">
        <v>1</v>
      </c>
      <c r="D42" s="14"/>
      <c r="E42" s="27" t="s">
        <v>46</v>
      </c>
      <c r="F42" s="14"/>
      <c r="G42" s="150">
        <f t="shared" si="5"/>
        <v>2500</v>
      </c>
      <c r="H42" s="14"/>
      <c r="I42" s="42">
        <v>62.95</v>
      </c>
      <c r="J42" s="14"/>
      <c r="K42" s="74">
        <f t="shared" si="6"/>
        <v>157375</v>
      </c>
      <c r="L42" s="6"/>
      <c r="M42" s="51">
        <f t="shared" si="7"/>
        <v>62.95</v>
      </c>
      <c r="N42" s="6"/>
      <c r="O42" s="51">
        <f t="shared" si="8"/>
        <v>0.17246575342465753</v>
      </c>
      <c r="P42" s="6"/>
      <c r="Q42" s="48">
        <f t="shared" si="9"/>
        <v>0.26929329226557153</v>
      </c>
      <c r="R42" s="6"/>
    </row>
    <row r="43" spans="1:21" s="38" customFormat="1" x14ac:dyDescent="0.3">
      <c r="A43" s="25" t="s">
        <v>247</v>
      </c>
      <c r="B43" s="14"/>
      <c r="C43" s="50">
        <f>2/12</f>
        <v>0.16666666666666666</v>
      </c>
      <c r="D43" s="14"/>
      <c r="E43" s="27" t="s">
        <v>246</v>
      </c>
      <c r="F43" s="14"/>
      <c r="G43" s="408">
        <f>K15+SUM(K34:K42)</f>
        <v>8376833.606770833</v>
      </c>
      <c r="H43" s="14"/>
      <c r="I43" s="42">
        <v>0.06</v>
      </c>
      <c r="J43" s="14"/>
      <c r="K43" s="74">
        <f t="shared" si="6"/>
        <v>83768.336067708326</v>
      </c>
      <c r="L43" s="6"/>
      <c r="M43" s="51">
        <f t="shared" si="7"/>
        <v>33.507334427083329</v>
      </c>
      <c r="N43" s="6"/>
      <c r="O43" s="51">
        <f t="shared" si="8"/>
        <v>9.1800916238584468E-2</v>
      </c>
      <c r="P43" s="6"/>
      <c r="Q43" s="48">
        <f t="shared" si="9"/>
        <v>0.14334075302482602</v>
      </c>
      <c r="R43" s="6"/>
      <c r="S43" s="409"/>
    </row>
    <row r="44" spans="1:21" s="38" customFormat="1" x14ac:dyDescent="0.3">
      <c r="A44" s="31"/>
      <c r="B44" s="30"/>
      <c r="C44" s="32"/>
      <c r="D44" s="30"/>
      <c r="E44" s="33"/>
      <c r="F44" s="30"/>
      <c r="G44" s="33"/>
      <c r="H44" s="30"/>
      <c r="I44" s="34"/>
      <c r="J44" s="14"/>
      <c r="K44" s="82"/>
      <c r="L44" s="83"/>
      <c r="M44" s="84"/>
      <c r="N44" s="83"/>
      <c r="O44" s="84"/>
      <c r="P44" s="83"/>
      <c r="Q44" s="84"/>
      <c r="R44" s="83"/>
    </row>
    <row r="45" spans="1:21" s="38" customFormat="1" x14ac:dyDescent="0.3">
      <c r="A45" s="49" t="s">
        <v>50</v>
      </c>
      <c r="B45" s="14"/>
      <c r="C45" s="14"/>
      <c r="D45" s="14"/>
      <c r="E45" s="15"/>
      <c r="F45" s="14"/>
      <c r="G45" s="15"/>
      <c r="H45" s="14"/>
      <c r="I45" s="14"/>
      <c r="J45" s="14"/>
      <c r="K45" s="92">
        <f>SUM(K15:K44)-(K15+K33)</f>
        <v>8460601.9428385459</v>
      </c>
      <c r="L45" s="89"/>
      <c r="M45" s="267">
        <f>SUM(M15:M44)-(M15+M33)</f>
        <v>3384.2407771354183</v>
      </c>
      <c r="N45" s="268"/>
      <c r="O45" s="88">
        <f t="shared" si="8"/>
        <v>9.2718925400970367</v>
      </c>
      <c r="P45" s="268"/>
      <c r="Q45" s="267">
        <f>SUM(Q15:Q44)-(Q15+Q33)</f>
        <v>14.477416055507426</v>
      </c>
      <c r="R45" s="89"/>
    </row>
    <row r="46" spans="1:21" s="38" customFormat="1" x14ac:dyDescent="0.3">
      <c r="A46" s="14"/>
      <c r="B46" s="14"/>
      <c r="C46" s="14"/>
      <c r="D46" s="14"/>
      <c r="E46" s="15"/>
      <c r="F46" s="14"/>
      <c r="G46" s="15"/>
      <c r="H46" s="14"/>
      <c r="I46" s="14"/>
      <c r="J46" s="14"/>
      <c r="K46" s="82"/>
      <c r="L46" s="83"/>
      <c r="M46" s="84"/>
      <c r="N46" s="83"/>
      <c r="O46" s="84"/>
      <c r="P46" s="83"/>
      <c r="Q46" s="84"/>
      <c r="R46" s="83"/>
      <c r="S46" s="59"/>
    </row>
    <row r="47" spans="1:21" s="59" customFormat="1" x14ac:dyDescent="0.3">
      <c r="A47" s="56" t="s">
        <v>51</v>
      </c>
      <c r="B47" s="57"/>
      <c r="C47" s="57"/>
      <c r="D47" s="57"/>
      <c r="E47" s="58"/>
      <c r="F47" s="57"/>
      <c r="G47" s="58"/>
      <c r="H47" s="57"/>
      <c r="I47" s="57"/>
      <c r="J47" s="57"/>
      <c r="K47" s="85">
        <f>K8-K45</f>
        <v>825857.43716145493</v>
      </c>
      <c r="L47" s="86"/>
      <c r="M47" s="93">
        <f>K47/FreeStall_No.</f>
        <v>330.34297486458195</v>
      </c>
      <c r="N47" s="86"/>
      <c r="O47" s="93">
        <f t="shared" si="8"/>
        <v>0.90504924620433413</v>
      </c>
      <c r="P47" s="86"/>
      <c r="Q47" s="93">
        <f>K47/FreeStall_No./FreeStall_Prod.</f>
        <v>1.4131715214946183</v>
      </c>
      <c r="R47" s="86"/>
      <c r="S47" s="38"/>
    </row>
    <row r="48" spans="1:21" s="38" customFormat="1" ht="6.75" customHeight="1" x14ac:dyDescent="0.3">
      <c r="A48" s="14"/>
      <c r="B48" s="14"/>
      <c r="C48" s="14"/>
      <c r="D48" s="14"/>
      <c r="E48" s="15"/>
      <c r="F48" s="14"/>
      <c r="G48" s="15"/>
      <c r="H48" s="14"/>
      <c r="I48" s="21"/>
      <c r="J48" s="14"/>
      <c r="K48" s="45"/>
      <c r="L48" s="6"/>
      <c r="M48" s="22"/>
      <c r="N48" s="6"/>
      <c r="O48" s="22"/>
      <c r="P48" s="6"/>
      <c r="Q48" s="22"/>
      <c r="R48" s="6"/>
    </row>
    <row r="49" spans="1:19" s="38" customFormat="1" x14ac:dyDescent="0.3">
      <c r="A49" s="13" t="s">
        <v>52</v>
      </c>
      <c r="B49" s="14"/>
      <c r="C49" s="14"/>
      <c r="D49" s="14"/>
      <c r="E49" s="15"/>
      <c r="F49" s="14"/>
      <c r="G49" s="15"/>
      <c r="H49" s="14"/>
      <c r="I49" s="21"/>
      <c r="J49" s="14"/>
      <c r="K49" s="87">
        <f>SUM(K51:K53)</f>
        <v>1566948.9309712588</v>
      </c>
      <c r="L49" s="83"/>
      <c r="M49" s="88">
        <f>SUM(M51:M53)</f>
        <v>626.77957238850365</v>
      </c>
      <c r="N49" s="268"/>
      <c r="O49" s="88">
        <f>M49/365</f>
        <v>1.7172043079137087</v>
      </c>
      <c r="P49" s="268"/>
      <c r="Q49" s="88">
        <f>SUM(Q51:Q53)</f>
        <v>2.6812952275346666</v>
      </c>
      <c r="R49" s="83"/>
    </row>
    <row r="50" spans="1:19" s="38" customFormat="1" ht="6.75" customHeight="1" x14ac:dyDescent="0.3">
      <c r="A50" s="14"/>
      <c r="B50" s="14"/>
      <c r="C50" s="14"/>
      <c r="D50" s="14"/>
      <c r="E50" s="15"/>
      <c r="F50" s="14"/>
      <c r="G50" s="15"/>
      <c r="H50" s="14"/>
      <c r="I50" s="21"/>
      <c r="J50" s="14"/>
      <c r="K50" s="90"/>
      <c r="L50" s="83"/>
      <c r="M50" s="88"/>
      <c r="N50" s="89"/>
      <c r="O50" s="88"/>
      <c r="P50" s="89"/>
      <c r="Q50" s="88"/>
      <c r="R50" s="83"/>
    </row>
    <row r="51" spans="1:19" s="38" customFormat="1" x14ac:dyDescent="0.3">
      <c r="A51" s="26" t="s">
        <v>217</v>
      </c>
      <c r="B51" s="14"/>
      <c r="C51" s="50">
        <v>1</v>
      </c>
      <c r="D51" s="14"/>
      <c r="E51" s="27" t="s">
        <v>46</v>
      </c>
      <c r="F51" s="14"/>
      <c r="G51" s="150">
        <f>FreeStall_No.</f>
        <v>2500</v>
      </c>
      <c r="H51" s="14"/>
      <c r="I51" s="42">
        <f>'Table 2 Capital Costs'!P67</f>
        <v>529.08852816011813</v>
      </c>
      <c r="J51" s="14"/>
      <c r="K51" s="90">
        <f>C51*G51*$I$51</f>
        <v>1322721.3204002953</v>
      </c>
      <c r="L51" s="83"/>
      <c r="M51" s="91">
        <f>K51/FreeStall_No.</f>
        <v>529.08852816011813</v>
      </c>
      <c r="N51" s="83"/>
      <c r="O51" s="91">
        <f>M51/365</f>
        <v>1.4495576113975839</v>
      </c>
      <c r="P51" s="83"/>
      <c r="Q51" s="91">
        <f>K51/FreeStall_No./FreeStall_Prod.</f>
        <v>2.2633835051339757</v>
      </c>
      <c r="R51" s="83"/>
      <c r="S51" s="77"/>
    </row>
    <row r="52" spans="1:19" s="77" customFormat="1" x14ac:dyDescent="0.3">
      <c r="A52" s="26" t="s">
        <v>218</v>
      </c>
      <c r="B52" s="14"/>
      <c r="C52" s="50">
        <v>1</v>
      </c>
      <c r="D52" s="14"/>
      <c r="E52" s="27" t="s">
        <v>220</v>
      </c>
      <c r="F52" s="14"/>
      <c r="G52" s="150">
        <v>1</v>
      </c>
      <c r="H52" s="14"/>
      <c r="I52" s="42">
        <f>'Table 2 Capital Costs'!I55</f>
        <v>32712.561999999998</v>
      </c>
      <c r="J52" s="14"/>
      <c r="K52" s="90">
        <f>C52*G52*I52</f>
        <v>32712.561999999998</v>
      </c>
      <c r="L52" s="83"/>
      <c r="M52" s="91">
        <f>K52/FreeStall_No.</f>
        <v>13.085024799999999</v>
      </c>
      <c r="N52" s="83"/>
      <c r="O52" s="91">
        <f>M52/365</f>
        <v>3.5849383013698631E-2</v>
      </c>
      <c r="P52" s="83"/>
      <c r="Q52" s="91">
        <f>K52/FreeStall_No./FreeStall_Prod.</f>
        <v>5.5976321013004787E-2</v>
      </c>
      <c r="R52" s="83"/>
      <c r="S52" s="38"/>
    </row>
    <row r="53" spans="1:19" s="38" customFormat="1" x14ac:dyDescent="0.3">
      <c r="A53" s="26" t="s">
        <v>213</v>
      </c>
      <c r="B53" s="14"/>
      <c r="C53" s="50">
        <v>1</v>
      </c>
      <c r="D53" s="14"/>
      <c r="E53" s="27" t="s">
        <v>220</v>
      </c>
      <c r="F53" s="14"/>
      <c r="G53" s="150">
        <v>1</v>
      </c>
      <c r="H53" s="14"/>
      <c r="I53" s="42">
        <f>0.025*K45</f>
        <v>211515.04857096367</v>
      </c>
      <c r="J53" s="14"/>
      <c r="K53" s="90">
        <f>C53*$I$53</f>
        <v>211515.04857096367</v>
      </c>
      <c r="L53" s="83"/>
      <c r="M53" s="91">
        <f>C53*I53/FreeStall_No.</f>
        <v>84.606019428385466</v>
      </c>
      <c r="N53" s="83"/>
      <c r="O53" s="91">
        <f>M53/365</f>
        <v>0.23179731350242594</v>
      </c>
      <c r="P53" s="83"/>
      <c r="Q53" s="91">
        <f>I53/FreeStall_No./FreeStall_Prod.</f>
        <v>0.36193540138768593</v>
      </c>
      <c r="R53" s="83"/>
    </row>
    <row r="54" spans="1:19" s="38" customFormat="1" x14ac:dyDescent="0.3">
      <c r="A54" s="14" t="s">
        <v>165</v>
      </c>
      <c r="B54" s="14"/>
      <c r="C54" s="14"/>
      <c r="D54" s="14"/>
      <c r="E54" s="15"/>
      <c r="F54" s="14"/>
      <c r="G54" s="15"/>
      <c r="H54" s="14"/>
      <c r="I54" s="21"/>
      <c r="J54" s="14"/>
      <c r="K54" s="82"/>
      <c r="L54" s="83"/>
      <c r="M54" s="84"/>
      <c r="N54" s="83"/>
      <c r="O54" s="84"/>
      <c r="P54" s="83"/>
      <c r="Q54" s="84"/>
      <c r="R54" s="83"/>
      <c r="S54" s="77"/>
    </row>
    <row r="55" spans="1:19" s="77" customFormat="1" x14ac:dyDescent="0.3">
      <c r="A55" s="14"/>
      <c r="B55" s="14"/>
      <c r="C55" s="14"/>
      <c r="D55" s="14"/>
      <c r="E55" s="15"/>
      <c r="F55" s="14"/>
      <c r="G55" s="15"/>
      <c r="H55" s="14"/>
      <c r="I55" s="21"/>
      <c r="J55" s="14"/>
      <c r="K55" s="82"/>
      <c r="L55" s="83"/>
      <c r="M55" s="84"/>
      <c r="N55" s="83"/>
      <c r="O55" s="84"/>
      <c r="P55" s="83"/>
      <c r="Q55" s="84"/>
      <c r="R55" s="83"/>
      <c r="S55" s="38"/>
    </row>
    <row r="56" spans="1:19" s="38" customFormat="1" x14ac:dyDescent="0.3">
      <c r="A56" s="49" t="s">
        <v>85</v>
      </c>
      <c r="B56" s="14"/>
      <c r="C56" s="14"/>
      <c r="D56" s="14"/>
      <c r="E56" s="15"/>
      <c r="F56" s="14"/>
      <c r="G56" s="15"/>
      <c r="H56" s="14"/>
      <c r="I56" s="14"/>
      <c r="J56" s="14"/>
      <c r="K56" s="92">
        <f>K49+K45</f>
        <v>10027550.873809805</v>
      </c>
      <c r="L56" s="89"/>
      <c r="M56" s="88">
        <f>K56/FreeStall_No.</f>
        <v>4011.0203495239221</v>
      </c>
      <c r="N56" s="89"/>
      <c r="O56" s="88">
        <f>M56/365</f>
        <v>10.989096848010746</v>
      </c>
      <c r="P56" s="89"/>
      <c r="Q56" s="88">
        <f>K56/FreeStall_No./FreeStall_Prod.</f>
        <v>17.158711283042106</v>
      </c>
      <c r="R56" s="89"/>
    </row>
    <row r="57" spans="1:19" s="38" customFormat="1" x14ac:dyDescent="0.3">
      <c r="A57" s="14"/>
      <c r="B57" s="14"/>
      <c r="C57" s="14"/>
      <c r="D57" s="14"/>
      <c r="E57" s="15"/>
      <c r="F57" s="14"/>
      <c r="G57" s="15"/>
      <c r="H57" s="14"/>
      <c r="I57" s="14"/>
      <c r="J57" s="14"/>
      <c r="K57" s="82"/>
      <c r="L57" s="83"/>
      <c r="M57" s="84"/>
      <c r="N57" s="83"/>
      <c r="O57" s="84"/>
      <c r="P57" s="83"/>
      <c r="Q57" s="84"/>
      <c r="R57" s="83"/>
      <c r="S57" s="59"/>
    </row>
    <row r="58" spans="1:19" s="59" customFormat="1" x14ac:dyDescent="0.3">
      <c r="A58" s="109" t="s">
        <v>84</v>
      </c>
      <c r="B58" s="110"/>
      <c r="C58" s="110"/>
      <c r="D58" s="110"/>
      <c r="E58" s="111"/>
      <c r="F58" s="110"/>
      <c r="G58" s="111"/>
      <c r="H58" s="110"/>
      <c r="I58" s="110"/>
      <c r="J58" s="110"/>
      <c r="K58" s="112">
        <f>K8-K56</f>
        <v>-741091.49380980432</v>
      </c>
      <c r="L58" s="113"/>
      <c r="M58" s="114">
        <f>M8-M56</f>
        <v>-296.43659752392159</v>
      </c>
      <c r="N58" s="113"/>
      <c r="O58" s="114">
        <f>O8-O56</f>
        <v>-0.81215506170937424</v>
      </c>
      <c r="P58" s="113"/>
      <c r="Q58" s="114">
        <f>Q8-Q56</f>
        <v>-1.2681237060400488</v>
      </c>
      <c r="R58" s="113"/>
    </row>
    <row r="59" spans="1:19" s="59" customFormat="1" x14ac:dyDescent="0.3">
      <c r="A59" s="115"/>
      <c r="B59" s="116"/>
      <c r="C59" s="116"/>
      <c r="D59" s="116"/>
      <c r="E59" s="117"/>
      <c r="F59" s="116"/>
      <c r="G59" s="117"/>
      <c r="H59" s="116"/>
      <c r="I59" s="116"/>
      <c r="J59" s="116"/>
      <c r="K59" s="118"/>
      <c r="L59" s="119"/>
      <c r="M59" s="120"/>
      <c r="N59" s="119"/>
      <c r="O59" s="120"/>
      <c r="P59" s="119"/>
      <c r="Q59" s="120"/>
      <c r="R59" s="119"/>
    </row>
    <row r="60" spans="1:19" s="59" customFormat="1" ht="17.399999999999999" x14ac:dyDescent="0.3">
      <c r="A60" s="297" t="s">
        <v>166</v>
      </c>
      <c r="B60" s="136"/>
      <c r="C60" s="136"/>
      <c r="D60" s="136"/>
      <c r="E60" s="137"/>
      <c r="F60" s="136"/>
      <c r="G60" s="137"/>
      <c r="H60" s="136"/>
      <c r="I60" s="136"/>
      <c r="J60" s="136"/>
      <c r="K60" s="138"/>
      <c r="L60" s="139"/>
      <c r="M60" s="140"/>
      <c r="N60" s="139"/>
      <c r="O60" s="140"/>
      <c r="P60" s="139"/>
      <c r="Q60" s="140"/>
      <c r="R60" s="139"/>
    </row>
    <row r="61" spans="1:19" s="59" customFormat="1" ht="17.399999999999999" x14ac:dyDescent="0.3">
      <c r="A61" s="297"/>
      <c r="B61" s="136"/>
      <c r="C61" s="136"/>
      <c r="D61" s="136"/>
      <c r="E61" s="137"/>
      <c r="F61" s="136"/>
      <c r="G61" s="137"/>
      <c r="H61" s="136"/>
      <c r="I61" s="136"/>
      <c r="J61" s="136"/>
      <c r="K61" s="138"/>
      <c r="L61" s="139"/>
      <c r="M61" s="140"/>
      <c r="N61" s="139"/>
      <c r="O61" s="140"/>
      <c r="P61" s="139"/>
      <c r="Q61" s="140"/>
      <c r="R61" s="139"/>
      <c r="S61" s="106"/>
    </row>
    <row r="62" spans="1:19" s="106" customFormat="1" ht="15.6" x14ac:dyDescent="0.3">
      <c r="A62" s="294" t="s">
        <v>208</v>
      </c>
      <c r="B62" s="104"/>
      <c r="C62" s="104"/>
      <c r="D62" s="104"/>
      <c r="E62" s="105"/>
      <c r="F62" s="104"/>
      <c r="G62" s="105"/>
      <c r="H62" s="104"/>
      <c r="I62" s="104"/>
      <c r="J62" s="104"/>
      <c r="K62" s="104"/>
      <c r="L62" s="104"/>
      <c r="M62" s="104"/>
      <c r="N62" s="104"/>
      <c r="O62" s="104"/>
      <c r="P62" s="104"/>
      <c r="Q62" s="101"/>
      <c r="R62" s="104"/>
      <c r="S62" s="108"/>
    </row>
    <row r="63" spans="1:19" s="108" customFormat="1" ht="15.6" x14ac:dyDescent="0.3">
      <c r="A63" s="296" t="s">
        <v>209</v>
      </c>
      <c r="B63" s="106"/>
      <c r="C63" s="99"/>
      <c r="D63" s="106"/>
      <c r="E63" s="107"/>
      <c r="F63" s="106"/>
      <c r="G63" s="106"/>
      <c r="H63" s="106"/>
      <c r="I63" s="106"/>
      <c r="J63" s="106"/>
      <c r="K63" s="106"/>
      <c r="L63" s="106"/>
      <c r="M63" s="106"/>
      <c r="N63" s="106"/>
      <c r="O63" s="106"/>
      <c r="P63" s="106"/>
      <c r="Q63" s="101"/>
      <c r="R63" s="106"/>
    </row>
    <row r="64" spans="1:19" s="108" customFormat="1" ht="15.6" x14ac:dyDescent="0.3">
      <c r="A64" s="294" t="s">
        <v>167</v>
      </c>
      <c r="B64" s="106"/>
      <c r="C64" s="99"/>
      <c r="D64" s="106"/>
      <c r="E64" s="107"/>
      <c r="F64" s="106"/>
      <c r="G64" s="106"/>
      <c r="H64" s="106"/>
      <c r="I64" s="106"/>
      <c r="J64" s="106"/>
      <c r="K64" s="106"/>
      <c r="L64" s="106"/>
      <c r="M64" s="106"/>
      <c r="N64" s="106"/>
      <c r="O64" s="106"/>
      <c r="P64" s="106"/>
      <c r="Q64" s="101"/>
      <c r="R64" s="106"/>
    </row>
    <row r="65" spans="1:33" s="108" customFormat="1" ht="15.6" x14ac:dyDescent="0.3">
      <c r="A65" s="296" t="s">
        <v>133</v>
      </c>
      <c r="B65" s="106"/>
      <c r="C65" s="99"/>
      <c r="D65" s="106"/>
      <c r="E65" s="107"/>
      <c r="F65" s="106"/>
      <c r="G65" s="106"/>
      <c r="H65" s="106"/>
      <c r="I65" s="106"/>
      <c r="J65" s="106"/>
      <c r="K65" s="106"/>
      <c r="L65" s="106"/>
      <c r="M65" s="106"/>
      <c r="N65" s="106"/>
      <c r="O65" s="106"/>
      <c r="P65" s="106"/>
      <c r="Q65" s="101"/>
      <c r="R65" s="106"/>
      <c r="S65"/>
    </row>
    <row r="66" spans="1:33" ht="15.6" x14ac:dyDescent="0.3">
      <c r="A66" s="295" t="s">
        <v>210</v>
      </c>
      <c r="B66" s="62"/>
      <c r="C66" s="102"/>
      <c r="D66" s="62"/>
      <c r="E66" s="100"/>
      <c r="F66" s="62"/>
      <c r="G66" s="62"/>
      <c r="H66" s="62"/>
      <c r="I66" s="62"/>
      <c r="J66" s="62"/>
      <c r="K66" s="62"/>
      <c r="L66" s="62"/>
      <c r="M66" s="62"/>
      <c r="N66" s="62"/>
      <c r="O66" s="62"/>
      <c r="P66" s="62"/>
      <c r="Q66" s="101"/>
      <c r="R66" s="62"/>
    </row>
    <row r="67" spans="1:33" ht="15.6" x14ac:dyDescent="0.3">
      <c r="A67" s="295" t="s">
        <v>211</v>
      </c>
      <c r="B67" s="101"/>
      <c r="C67" s="102"/>
      <c r="D67" s="101"/>
      <c r="E67" s="103"/>
      <c r="F67" s="101"/>
      <c r="G67" s="101"/>
      <c r="H67" s="101"/>
      <c r="I67" s="101"/>
      <c r="J67" s="101"/>
      <c r="K67" s="101"/>
      <c r="L67" s="101"/>
      <c r="M67" s="101"/>
      <c r="N67" s="101"/>
      <c r="O67" s="101"/>
      <c r="P67" s="101"/>
      <c r="Q67" s="101"/>
      <c r="R67" s="101"/>
      <c r="S67" s="59"/>
    </row>
    <row r="68" spans="1:33" s="59" customFormat="1" ht="15.6" x14ac:dyDescent="0.3">
      <c r="A68" s="295" t="s">
        <v>212</v>
      </c>
      <c r="B68" s="136"/>
      <c r="C68" s="136"/>
      <c r="D68" s="136"/>
      <c r="E68" s="137"/>
      <c r="F68" s="136"/>
      <c r="G68" s="137"/>
      <c r="H68" s="136"/>
      <c r="I68" s="136"/>
      <c r="J68" s="136"/>
      <c r="K68" s="138"/>
      <c r="L68" s="139"/>
      <c r="M68" s="140"/>
      <c r="N68" s="139"/>
      <c r="O68" s="140"/>
      <c r="P68" s="139"/>
      <c r="Q68" s="140"/>
      <c r="R68" s="139"/>
      <c r="S68" s="77"/>
    </row>
    <row r="69" spans="1:33" s="77" customFormat="1" ht="15.6" x14ac:dyDescent="0.3">
      <c r="A69" s="141"/>
      <c r="B69" s="141"/>
      <c r="C69" s="142"/>
      <c r="D69" s="141"/>
      <c r="E69" s="143"/>
      <c r="F69" s="141"/>
      <c r="G69" s="141"/>
      <c r="H69" s="141"/>
      <c r="I69" s="141"/>
      <c r="J69" s="141"/>
      <c r="K69" s="141"/>
      <c r="L69" s="141"/>
      <c r="M69" s="141"/>
      <c r="N69" s="141"/>
      <c r="O69" s="141"/>
      <c r="P69" s="141"/>
      <c r="Q69" s="141"/>
      <c r="R69" s="141"/>
    </row>
    <row r="70" spans="1:33" s="77" customFormat="1" x14ac:dyDescent="0.3">
      <c r="A70" s="49"/>
      <c r="B70" s="144"/>
      <c r="C70" s="144"/>
      <c r="D70" s="144"/>
      <c r="E70" s="145"/>
      <c r="F70" s="144"/>
      <c r="G70" s="145"/>
      <c r="H70" s="144"/>
      <c r="I70" s="144"/>
      <c r="J70" s="144"/>
      <c r="K70" s="144"/>
      <c r="L70" s="146"/>
      <c r="M70" s="144"/>
      <c r="N70" s="146"/>
      <c r="O70" s="144"/>
      <c r="P70" s="146"/>
      <c r="Q70" s="144"/>
      <c r="R70" s="146"/>
    </row>
    <row r="71" spans="1:33" s="77" customFormat="1" x14ac:dyDescent="0.3">
      <c r="A71" s="49"/>
      <c r="B71" s="144"/>
      <c r="C71" s="144"/>
      <c r="D71" s="144"/>
      <c r="E71" s="145"/>
      <c r="F71" s="144"/>
      <c r="G71" s="145"/>
      <c r="H71" s="144"/>
      <c r="I71" s="144"/>
      <c r="J71" s="144"/>
      <c r="K71" s="144"/>
      <c r="L71" s="146"/>
      <c r="M71" s="144"/>
      <c r="N71" s="146"/>
      <c r="O71" s="144"/>
      <c r="P71" s="146"/>
      <c r="Q71" s="144"/>
      <c r="R71" s="146"/>
    </row>
    <row r="72" spans="1:33" s="77" customFormat="1" ht="15.6" x14ac:dyDescent="0.3">
      <c r="A72" s="121"/>
      <c r="B72" s="279"/>
      <c r="C72" s="279"/>
      <c r="D72" s="289" t="s">
        <v>135</v>
      </c>
      <c r="E72" s="289"/>
      <c r="F72" s="279"/>
      <c r="G72" s="278"/>
      <c r="H72" s="279"/>
      <c r="I72" s="279"/>
      <c r="J72" s="279"/>
      <c r="K72" s="279"/>
      <c r="L72" s="30"/>
      <c r="M72" s="14"/>
      <c r="N72" s="30"/>
      <c r="O72" s="14"/>
      <c r="P72" s="30"/>
      <c r="Q72" s="14"/>
      <c r="R72" s="30"/>
    </row>
    <row r="73" spans="1:33" s="77" customFormat="1" ht="15.6" x14ac:dyDescent="0.3">
      <c r="A73" s="121"/>
      <c r="B73" s="279"/>
      <c r="C73" s="279"/>
      <c r="D73" s="279"/>
      <c r="E73" s="278"/>
      <c r="F73" s="279"/>
      <c r="G73" s="278"/>
      <c r="H73" s="279"/>
      <c r="I73" s="279"/>
      <c r="J73" s="279"/>
      <c r="K73" s="279"/>
      <c r="L73" s="30"/>
      <c r="M73" s="14"/>
      <c r="N73" s="30"/>
      <c r="O73" s="14"/>
      <c r="P73" s="30"/>
      <c r="Q73" s="14"/>
      <c r="R73" s="30"/>
      <c r="S73" s="41"/>
    </row>
    <row r="74" spans="1:33" s="41" customFormat="1" ht="15.6" x14ac:dyDescent="0.3">
      <c r="A74" s="279"/>
      <c r="B74" s="279"/>
      <c r="C74" s="274"/>
      <c r="D74" s="279"/>
      <c r="E74" s="280" t="s">
        <v>91</v>
      </c>
      <c r="F74" s="279"/>
      <c r="G74" s="279"/>
      <c r="H74" s="279"/>
      <c r="I74" s="279"/>
      <c r="J74" s="279"/>
      <c r="K74" s="279"/>
      <c r="L74" s="30"/>
      <c r="M74" s="14"/>
      <c r="N74" s="30"/>
      <c r="O74" s="14"/>
      <c r="P74" s="30"/>
      <c r="Q74" s="14"/>
      <c r="R74" s="30"/>
    </row>
    <row r="75" spans="1:33" s="41" customFormat="1" ht="15.6" x14ac:dyDescent="0.3">
      <c r="A75" s="279"/>
      <c r="B75" s="279"/>
      <c r="C75" s="274" t="s">
        <v>95</v>
      </c>
      <c r="D75" s="279"/>
      <c r="E75" s="280" t="s">
        <v>98</v>
      </c>
      <c r="F75" s="279"/>
      <c r="G75" s="274" t="s">
        <v>96</v>
      </c>
      <c r="H75" s="279"/>
      <c r="I75" s="274" t="s">
        <v>96</v>
      </c>
      <c r="J75" s="279"/>
      <c r="K75" s="281"/>
      <c r="L75" s="30"/>
      <c r="M75" s="14"/>
      <c r="N75" s="30"/>
      <c r="O75" s="14"/>
      <c r="P75" s="30"/>
      <c r="Q75" s="14"/>
      <c r="R75" s="30"/>
    </row>
    <row r="76" spans="1:33" s="41" customFormat="1" ht="15.6" x14ac:dyDescent="0.3">
      <c r="A76" s="279"/>
      <c r="B76" s="279"/>
      <c r="C76" s="275">
        <v>0.1</v>
      </c>
      <c r="D76" s="276"/>
      <c r="E76" s="282" t="s">
        <v>97</v>
      </c>
      <c r="F76" s="276"/>
      <c r="G76" s="275">
        <v>0.1</v>
      </c>
      <c r="H76" s="276"/>
      <c r="I76" s="275">
        <v>0.1</v>
      </c>
      <c r="J76" s="279"/>
      <c r="K76" s="279"/>
      <c r="L76" s="30"/>
      <c r="M76" s="14"/>
      <c r="N76" s="30"/>
      <c r="O76" s="14"/>
      <c r="P76" s="30"/>
      <c r="Q76" s="14"/>
      <c r="R76" s="30"/>
      <c r="S76" s="62"/>
    </row>
    <row r="77" spans="1:33" s="41" customFormat="1" ht="15.6" x14ac:dyDescent="0.3">
      <c r="A77" s="283"/>
      <c r="B77" s="279"/>
      <c r="C77" s="284">
        <f>E77*(1-C76)</f>
        <v>210.38399999999999</v>
      </c>
      <c r="D77" s="284"/>
      <c r="E77" s="284">
        <f>C9</f>
        <v>233.76</v>
      </c>
      <c r="F77" s="284"/>
      <c r="G77" s="284">
        <f>E77*(1+G76)</f>
        <v>257.13600000000002</v>
      </c>
      <c r="H77" s="284"/>
      <c r="I77" s="284">
        <f>G77*(1+I76)</f>
        <v>282.84960000000007</v>
      </c>
      <c r="J77" s="279"/>
      <c r="K77" s="276"/>
      <c r="L77" s="36"/>
      <c r="M77" s="16"/>
      <c r="N77" s="36"/>
      <c r="O77" s="16"/>
      <c r="P77" s="36"/>
      <c r="Q77" s="16"/>
      <c r="R77" s="36"/>
      <c r="S77" s="62"/>
      <c r="T77" s="62"/>
      <c r="U77" s="62"/>
      <c r="V77" s="62"/>
      <c r="W77" s="62"/>
      <c r="X77" s="62"/>
      <c r="Y77" s="62"/>
      <c r="Z77" s="62"/>
      <c r="AA77" s="62"/>
      <c r="AB77" s="62"/>
      <c r="AC77" s="62"/>
      <c r="AD77" s="62"/>
      <c r="AE77" s="62"/>
      <c r="AF77" s="62"/>
      <c r="AG77" s="62"/>
    </row>
    <row r="78" spans="1:33" s="41" customFormat="1" ht="20.100000000000001" customHeight="1" x14ac:dyDescent="0.3">
      <c r="A78" s="276" t="s">
        <v>92</v>
      </c>
      <c r="B78" s="285"/>
      <c r="C78" s="286">
        <f>$M$45/C77</f>
        <v>16.086017839452708</v>
      </c>
      <c r="D78" s="286"/>
      <c r="E78" s="286">
        <f>$M$45/E77</f>
        <v>14.477416055507437</v>
      </c>
      <c r="F78" s="286"/>
      <c r="G78" s="286">
        <f>$M$45/G77</f>
        <v>13.161287323188578</v>
      </c>
      <c r="H78" s="286"/>
      <c r="I78" s="286">
        <f>$M$45/I77</f>
        <v>11.964806657444159</v>
      </c>
      <c r="J78" s="279"/>
      <c r="K78" s="276"/>
      <c r="L78" s="36"/>
      <c r="M78" s="16"/>
      <c r="N78" s="36"/>
      <c r="O78" s="16"/>
      <c r="P78" s="36"/>
      <c r="Q78" s="16"/>
      <c r="R78" s="36"/>
      <c r="S78" s="62"/>
      <c r="T78" s="62"/>
      <c r="U78" s="62"/>
      <c r="V78" s="62"/>
      <c r="W78" s="62"/>
      <c r="X78" s="62"/>
      <c r="Y78" s="62"/>
      <c r="Z78" s="62"/>
      <c r="AA78" s="62"/>
      <c r="AB78" s="62"/>
      <c r="AC78" s="62"/>
      <c r="AD78" s="62"/>
      <c r="AE78" s="62"/>
      <c r="AF78" s="62"/>
      <c r="AG78" s="62"/>
    </row>
    <row r="79" spans="1:33" s="41" customFormat="1" ht="20.100000000000001" customHeight="1" x14ac:dyDescent="0.3">
      <c r="A79" s="276" t="s">
        <v>93</v>
      </c>
      <c r="B79" s="276"/>
      <c r="C79" s="286">
        <f>$M$49/C77</f>
        <v>2.9792169194829632</v>
      </c>
      <c r="D79" s="286"/>
      <c r="E79" s="286">
        <f>$M$49/E77</f>
        <v>2.6812952275346666</v>
      </c>
      <c r="F79" s="286"/>
      <c r="G79" s="286">
        <f>$M$49/G77</f>
        <v>2.4375411159406055</v>
      </c>
      <c r="H79" s="286"/>
      <c r="I79" s="286">
        <f>$M$49/I77</f>
        <v>2.2159464690369139</v>
      </c>
      <c r="J79" s="279"/>
      <c r="K79" s="276"/>
      <c r="L79" s="36"/>
      <c r="M79" s="16"/>
      <c r="N79" s="36"/>
      <c r="O79" s="16"/>
      <c r="P79" s="36"/>
      <c r="Q79" s="16"/>
      <c r="R79" s="36"/>
      <c r="S79" s="62"/>
      <c r="T79" s="62"/>
      <c r="U79" s="62"/>
      <c r="V79" s="62"/>
      <c r="W79" s="62"/>
      <c r="X79" s="62"/>
      <c r="Y79" s="62"/>
      <c r="Z79" s="62"/>
      <c r="AA79" s="62"/>
      <c r="AB79" s="62"/>
      <c r="AC79" s="62"/>
      <c r="AD79" s="62"/>
      <c r="AE79" s="62"/>
      <c r="AF79" s="62"/>
      <c r="AG79" s="62"/>
    </row>
    <row r="80" spans="1:33" s="41" customFormat="1" ht="20.100000000000001" customHeight="1" x14ac:dyDescent="0.3">
      <c r="A80" s="276" t="s">
        <v>94</v>
      </c>
      <c r="B80" s="276"/>
      <c r="C80" s="286">
        <f>$M$56/C77</f>
        <v>19.06523475893567</v>
      </c>
      <c r="D80" s="286"/>
      <c r="E80" s="286">
        <f>$M$56/E77</f>
        <v>17.158711283042106</v>
      </c>
      <c r="F80" s="286"/>
      <c r="G80" s="286">
        <f>$M$56/G77</f>
        <v>15.598828439129184</v>
      </c>
      <c r="H80" s="286"/>
      <c r="I80" s="286">
        <f>$M$56/I77</f>
        <v>14.180753126481074</v>
      </c>
      <c r="J80" s="279"/>
      <c r="K80" s="276"/>
      <c r="L80" s="36"/>
      <c r="M80" s="16"/>
      <c r="N80" s="36"/>
      <c r="O80" s="16"/>
      <c r="P80" s="36"/>
      <c r="Q80" s="16"/>
      <c r="R80" s="36"/>
      <c r="S80" s="62"/>
      <c r="T80" s="62"/>
      <c r="U80" s="62"/>
      <c r="V80" s="62"/>
      <c r="W80" s="62"/>
      <c r="X80" s="62"/>
      <c r="Y80" s="62"/>
      <c r="Z80" s="62"/>
      <c r="AA80" s="62"/>
      <c r="AB80" s="62"/>
      <c r="AC80" s="62"/>
      <c r="AD80" s="62"/>
      <c r="AE80" s="62"/>
      <c r="AF80" s="62"/>
      <c r="AG80" s="62"/>
    </row>
    <row r="81" spans="1:33" s="41" customFormat="1" ht="3.75" customHeight="1" x14ac:dyDescent="0.3">
      <c r="A81" s="276" t="s">
        <v>94</v>
      </c>
      <c r="B81" s="276"/>
      <c r="C81" s="287"/>
      <c r="D81" s="276"/>
      <c r="E81" s="288"/>
      <c r="F81" s="276"/>
      <c r="G81" s="287"/>
      <c r="H81" s="287"/>
      <c r="I81" s="276"/>
      <c r="J81" s="279"/>
      <c r="K81" s="276"/>
      <c r="L81" s="36"/>
      <c r="M81" s="16"/>
      <c r="N81" s="36"/>
      <c r="O81" s="16"/>
      <c r="P81" s="36"/>
      <c r="Q81" s="16"/>
      <c r="R81" s="36"/>
      <c r="S81" s="62"/>
      <c r="T81" s="62"/>
      <c r="U81" s="62"/>
      <c r="V81" s="62"/>
      <c r="W81" s="62"/>
      <c r="X81" s="62"/>
      <c r="Y81" s="62"/>
      <c r="Z81" s="62"/>
      <c r="AA81" s="62"/>
      <c r="AB81" s="62"/>
      <c r="AC81" s="62"/>
      <c r="AD81" s="62"/>
      <c r="AE81" s="62"/>
      <c r="AF81" s="62"/>
      <c r="AG81" s="62"/>
    </row>
    <row r="82" spans="1:33" s="41" customFormat="1" ht="12.75" customHeight="1" x14ac:dyDescent="0.3">
      <c r="A82" s="279"/>
      <c r="B82" s="279"/>
      <c r="C82" s="287"/>
      <c r="D82" s="276"/>
      <c r="E82" s="288"/>
      <c r="F82" s="276"/>
      <c r="G82" s="287"/>
      <c r="H82" s="287"/>
      <c r="I82" s="276"/>
      <c r="J82" s="279"/>
      <c r="K82" s="276"/>
      <c r="L82" s="36"/>
      <c r="M82" s="16"/>
      <c r="N82" s="36"/>
      <c r="O82" s="16"/>
      <c r="P82" s="36"/>
      <c r="Q82" s="16"/>
      <c r="R82" s="36"/>
      <c r="S82" s="62"/>
      <c r="T82" s="62"/>
      <c r="U82" s="62"/>
      <c r="V82" s="62"/>
      <c r="W82" s="62"/>
      <c r="X82" s="62"/>
      <c r="Y82" s="62"/>
      <c r="Z82" s="62"/>
      <c r="AA82" s="62"/>
      <c r="AB82" s="62"/>
      <c r="AC82" s="62"/>
      <c r="AD82" s="62"/>
      <c r="AE82" s="62"/>
      <c r="AF82" s="62"/>
      <c r="AG82" s="62"/>
    </row>
    <row r="83" spans="1:33" s="77" customFormat="1" ht="12.75" customHeight="1" x14ac:dyDescent="0.3">
      <c r="A83" s="279"/>
      <c r="B83" s="279"/>
      <c r="C83" s="287"/>
      <c r="D83" s="276"/>
      <c r="E83" s="288"/>
      <c r="F83" s="276"/>
      <c r="G83" s="287"/>
      <c r="H83" s="287"/>
      <c r="I83" s="276"/>
      <c r="J83" s="279"/>
      <c r="K83" s="276"/>
      <c r="L83" s="36"/>
      <c r="M83" s="16"/>
      <c r="N83" s="36"/>
      <c r="O83" s="16"/>
      <c r="P83" s="36"/>
      <c r="Q83" s="16"/>
      <c r="R83" s="36"/>
      <c r="S83" s="62"/>
      <c r="T83" s="62"/>
      <c r="U83" s="62"/>
      <c r="V83" s="62"/>
      <c r="W83" s="62"/>
      <c r="X83" s="62"/>
      <c r="Y83" s="62"/>
      <c r="Z83" s="62"/>
      <c r="AA83" s="62"/>
      <c r="AB83" s="62"/>
      <c r="AC83" s="62"/>
      <c r="AD83" s="62"/>
      <c r="AE83" s="62"/>
      <c r="AF83" s="62"/>
      <c r="AG83" s="62"/>
    </row>
    <row r="84" spans="1:33" s="77" customFormat="1" ht="12.75" customHeight="1" x14ac:dyDescent="0.3">
      <c r="A84" s="279"/>
      <c r="B84" s="279"/>
      <c r="C84" s="287"/>
      <c r="D84" s="289" t="s">
        <v>136</v>
      </c>
      <c r="E84" s="122"/>
      <c r="F84" s="276"/>
      <c r="G84" s="287"/>
      <c r="H84" s="287"/>
      <c r="I84" s="276"/>
      <c r="J84" s="279"/>
      <c r="K84" s="276"/>
      <c r="L84" s="36"/>
      <c r="M84" s="16"/>
      <c r="N84" s="36"/>
      <c r="O84" s="16"/>
      <c r="P84" s="36"/>
      <c r="Q84" s="16"/>
      <c r="R84" s="36"/>
      <c r="S84" s="62"/>
      <c r="T84" s="62"/>
      <c r="U84" s="62"/>
      <c r="V84" s="62"/>
      <c r="W84" s="62"/>
      <c r="X84" s="62"/>
      <c r="Y84" s="62"/>
      <c r="Z84" s="62"/>
      <c r="AA84" s="62"/>
      <c r="AB84" s="62"/>
      <c r="AC84" s="62"/>
      <c r="AD84" s="62"/>
      <c r="AE84" s="62"/>
      <c r="AF84" s="62"/>
      <c r="AG84" s="62"/>
    </row>
    <row r="85" spans="1:33" s="77" customFormat="1" ht="12.75" customHeight="1" x14ac:dyDescent="0.3">
      <c r="A85" s="279"/>
      <c r="B85" s="279"/>
      <c r="C85" s="287"/>
      <c r="D85" s="276"/>
      <c r="E85" s="288"/>
      <c r="F85" s="276"/>
      <c r="G85" s="287"/>
      <c r="H85" s="287"/>
      <c r="I85" s="276"/>
      <c r="J85" s="279"/>
      <c r="K85" s="276"/>
      <c r="L85" s="36"/>
      <c r="M85" s="16"/>
      <c r="N85" s="36"/>
      <c r="O85" s="16"/>
      <c r="P85" s="36"/>
      <c r="Q85" s="16"/>
      <c r="R85" s="36"/>
      <c r="S85" s="62"/>
      <c r="T85" s="62"/>
      <c r="U85" s="62"/>
      <c r="V85" s="62"/>
      <c r="W85" s="62"/>
      <c r="X85" s="62"/>
      <c r="Y85" s="62"/>
      <c r="Z85" s="62"/>
      <c r="AA85" s="62"/>
      <c r="AB85" s="62"/>
      <c r="AC85" s="62"/>
      <c r="AD85" s="62"/>
      <c r="AE85" s="62"/>
      <c r="AF85" s="62"/>
      <c r="AG85" s="62"/>
    </row>
    <row r="86" spans="1:33" s="41" customFormat="1" ht="15.6" x14ac:dyDescent="0.3">
      <c r="A86" s="290"/>
      <c r="B86" s="276"/>
      <c r="C86" s="274"/>
      <c r="D86" s="279"/>
      <c r="E86" s="280" t="s">
        <v>91</v>
      </c>
      <c r="F86" s="279"/>
      <c r="G86" s="274"/>
      <c r="H86" s="286"/>
      <c r="I86" s="276"/>
      <c r="J86" s="279"/>
      <c r="K86" s="276"/>
      <c r="L86" s="36"/>
      <c r="M86" s="16"/>
      <c r="N86" s="36"/>
      <c r="O86" s="16"/>
      <c r="P86" s="36"/>
      <c r="Q86" s="16"/>
      <c r="R86" s="36"/>
      <c r="S86" s="62"/>
      <c r="T86" s="62"/>
      <c r="U86" s="62"/>
      <c r="V86" s="62"/>
      <c r="W86" s="62"/>
      <c r="X86" s="62"/>
      <c r="Y86" s="62"/>
      <c r="Z86" s="62"/>
      <c r="AA86" s="62"/>
      <c r="AB86" s="62"/>
      <c r="AC86" s="62"/>
      <c r="AD86" s="62"/>
      <c r="AE86" s="62"/>
      <c r="AF86" s="62"/>
      <c r="AG86" s="62"/>
    </row>
    <row r="87" spans="1:33" s="41" customFormat="1" ht="14.25" customHeight="1" x14ac:dyDescent="0.3">
      <c r="A87" s="276"/>
      <c r="B87" s="276"/>
      <c r="C87" s="274" t="s">
        <v>95</v>
      </c>
      <c r="D87" s="279"/>
      <c r="E87" s="280" t="s">
        <v>86</v>
      </c>
      <c r="F87" s="279"/>
      <c r="G87" s="274" t="s">
        <v>96</v>
      </c>
      <c r="H87" s="287"/>
      <c r="I87" s="274" t="s">
        <v>96</v>
      </c>
      <c r="J87" s="276"/>
      <c r="K87" s="276"/>
      <c r="L87" s="36"/>
      <c r="M87" s="16"/>
      <c r="N87" s="36"/>
      <c r="O87" s="16"/>
      <c r="P87" s="36"/>
      <c r="Q87" s="16"/>
      <c r="R87" s="36"/>
      <c r="S87" s="62"/>
      <c r="T87" s="62"/>
      <c r="U87" s="62"/>
      <c r="V87" s="62"/>
      <c r="W87" s="62"/>
      <c r="X87" s="62"/>
      <c r="Y87" s="62"/>
      <c r="Z87" s="62"/>
      <c r="AA87" s="62"/>
      <c r="AB87" s="62"/>
      <c r="AC87" s="62"/>
      <c r="AD87" s="62"/>
      <c r="AE87" s="62"/>
      <c r="AF87" s="62"/>
      <c r="AG87" s="62"/>
    </row>
    <row r="88" spans="1:33" s="41" customFormat="1" ht="15.75" customHeight="1" x14ac:dyDescent="0.3">
      <c r="A88" s="276"/>
      <c r="B88" s="276"/>
      <c r="C88" s="275">
        <v>0.1</v>
      </c>
      <c r="D88" s="276"/>
      <c r="E88" s="291" t="s">
        <v>134</v>
      </c>
      <c r="F88" s="276"/>
      <c r="G88" s="275">
        <v>0.1</v>
      </c>
      <c r="H88" s="292"/>
      <c r="I88" s="275">
        <v>0.1</v>
      </c>
      <c r="J88" s="276"/>
      <c r="K88" s="276"/>
      <c r="L88" s="36"/>
      <c r="M88" s="16"/>
      <c r="N88" s="36"/>
      <c r="O88" s="16"/>
      <c r="P88" s="36"/>
      <c r="Q88" s="16"/>
      <c r="R88" s="36"/>
      <c r="S88" s="62"/>
      <c r="T88" s="62"/>
      <c r="U88" s="62"/>
      <c r="V88" s="62"/>
      <c r="W88" s="62"/>
      <c r="X88" s="62"/>
      <c r="Y88" s="62"/>
      <c r="Z88" s="62"/>
      <c r="AA88" s="62"/>
      <c r="AB88" s="62"/>
      <c r="AC88" s="62"/>
      <c r="AD88" s="62"/>
      <c r="AE88" s="62"/>
      <c r="AF88" s="62"/>
      <c r="AG88" s="62"/>
    </row>
    <row r="89" spans="1:33" s="41" customFormat="1" ht="15.6" x14ac:dyDescent="0.3">
      <c r="A89" s="276"/>
      <c r="B89" s="276"/>
      <c r="C89" s="284">
        <f>E89*(1-C88)</f>
        <v>15.777000000000001</v>
      </c>
      <c r="D89" s="284"/>
      <c r="E89" s="284">
        <f>Pmilk</f>
        <v>17.53</v>
      </c>
      <c r="F89" s="284"/>
      <c r="G89" s="284">
        <f>E89*(1+G88)</f>
        <v>19.283000000000001</v>
      </c>
      <c r="H89" s="284"/>
      <c r="I89" s="284">
        <f>G89*(1+I88)</f>
        <v>21.211300000000001</v>
      </c>
      <c r="J89" s="279"/>
      <c r="K89" s="276"/>
      <c r="L89" s="36"/>
      <c r="M89" s="16"/>
      <c r="N89" s="36"/>
      <c r="O89" s="16"/>
      <c r="P89" s="36"/>
      <c r="Q89" s="16"/>
      <c r="R89" s="36"/>
      <c r="S89" s="62"/>
      <c r="T89" s="62"/>
      <c r="U89" s="62"/>
      <c r="V89" s="62"/>
      <c r="W89" s="62"/>
      <c r="X89" s="62"/>
      <c r="Y89" s="62"/>
      <c r="Z89" s="62"/>
      <c r="AA89" s="62"/>
      <c r="AB89" s="62"/>
      <c r="AC89" s="62"/>
      <c r="AD89" s="62"/>
      <c r="AE89" s="62"/>
      <c r="AF89" s="62"/>
      <c r="AG89" s="62"/>
    </row>
    <row r="90" spans="1:33" s="41" customFormat="1" ht="20.100000000000001" customHeight="1" x14ac:dyDescent="0.3">
      <c r="A90" s="279" t="s">
        <v>92</v>
      </c>
      <c r="B90" s="276"/>
      <c r="C90" s="277">
        <f>$M$45/C89</f>
        <v>214.50470793784737</v>
      </c>
      <c r="D90" s="279"/>
      <c r="E90" s="277">
        <f>$M$45/E89</f>
        <v>193.05423714406263</v>
      </c>
      <c r="F90" s="279"/>
      <c r="G90" s="277">
        <f>$M$45/G89</f>
        <v>175.50385194914784</v>
      </c>
      <c r="H90" s="293"/>
      <c r="I90" s="277">
        <f>$M$45/I89</f>
        <v>159.54895631740715</v>
      </c>
      <c r="J90" s="279"/>
      <c r="K90" s="276"/>
      <c r="L90" s="36"/>
      <c r="M90" s="16"/>
      <c r="N90" s="36"/>
      <c r="O90" s="16"/>
      <c r="P90" s="36"/>
      <c r="Q90" s="16"/>
      <c r="R90" s="36"/>
      <c r="S90" s="62"/>
      <c r="T90" s="62"/>
      <c r="U90" s="62"/>
      <c r="V90" s="62"/>
      <c r="W90" s="62"/>
      <c r="X90" s="62"/>
      <c r="Y90" s="62"/>
      <c r="Z90" s="62"/>
      <c r="AA90" s="62"/>
      <c r="AB90" s="62"/>
      <c r="AC90" s="62"/>
      <c r="AD90" s="62"/>
      <c r="AE90" s="62"/>
      <c r="AF90" s="62"/>
      <c r="AG90" s="62"/>
    </row>
    <row r="91" spans="1:33" s="41" customFormat="1" ht="20.100000000000001" customHeight="1" x14ac:dyDescent="0.3">
      <c r="A91" s="279" t="s">
        <v>93</v>
      </c>
      <c r="B91" s="276"/>
      <c r="C91" s="277">
        <f>$M$49/C89</f>
        <v>39.727424249762542</v>
      </c>
      <c r="D91" s="279"/>
      <c r="E91" s="277">
        <f>$M$49/E89</f>
        <v>35.754681824786289</v>
      </c>
      <c r="F91" s="279"/>
      <c r="G91" s="277">
        <f>$M$49/G89</f>
        <v>32.504256204351172</v>
      </c>
      <c r="H91" s="293"/>
      <c r="I91" s="277">
        <f>$M$49/I89</f>
        <v>29.549323822137428</v>
      </c>
      <c r="J91" s="279"/>
      <c r="K91" s="276"/>
      <c r="L91" s="36"/>
      <c r="M91" s="16"/>
      <c r="N91" s="36"/>
      <c r="O91" s="16"/>
      <c r="P91" s="36"/>
      <c r="Q91" s="16"/>
      <c r="R91" s="36"/>
      <c r="S91" s="62"/>
      <c r="T91" s="62"/>
      <c r="U91" s="62"/>
      <c r="V91" s="62"/>
      <c r="W91" s="62"/>
      <c r="X91" s="62"/>
      <c r="Y91" s="62"/>
      <c r="Z91" s="62"/>
      <c r="AA91" s="62"/>
      <c r="AB91" s="62"/>
      <c r="AC91" s="62"/>
      <c r="AD91" s="62"/>
      <c r="AE91" s="62"/>
      <c r="AF91" s="62"/>
      <c r="AG91" s="62"/>
    </row>
    <row r="92" spans="1:33" s="41" customFormat="1" ht="20.100000000000001" customHeight="1" x14ac:dyDescent="0.3">
      <c r="A92" s="279" t="s">
        <v>94</v>
      </c>
      <c r="B92" s="276"/>
      <c r="C92" s="277">
        <f>$M$56/C89</f>
        <v>254.23213218760992</v>
      </c>
      <c r="D92" s="279"/>
      <c r="E92" s="277">
        <f>$M$56/E89</f>
        <v>228.80891896884893</v>
      </c>
      <c r="F92" s="279"/>
      <c r="G92" s="277">
        <f>$M$56/G89</f>
        <v>208.00810815349902</v>
      </c>
      <c r="H92" s="293"/>
      <c r="I92" s="277">
        <f>$M$56/I89</f>
        <v>189.09828013954458</v>
      </c>
      <c r="J92" s="279"/>
      <c r="K92" s="276"/>
      <c r="L92" s="36"/>
      <c r="M92" s="16"/>
      <c r="N92" s="36"/>
      <c r="O92" s="16"/>
      <c r="P92" s="36"/>
      <c r="Q92" s="16"/>
      <c r="R92" s="36"/>
      <c r="S92" s="62"/>
      <c r="T92" s="62"/>
      <c r="U92" s="62"/>
      <c r="V92" s="62"/>
      <c r="W92" s="62"/>
      <c r="X92" s="62"/>
      <c r="Y92" s="62"/>
      <c r="Z92" s="62"/>
      <c r="AA92" s="62"/>
      <c r="AB92" s="62"/>
      <c r="AC92" s="62"/>
      <c r="AD92" s="62"/>
      <c r="AE92" s="62"/>
      <c r="AF92" s="62"/>
      <c r="AG92" s="62"/>
    </row>
    <row r="93" spans="1:33" s="41" customFormat="1" ht="3.75" customHeight="1" x14ac:dyDescent="0.3">
      <c r="A93" s="14"/>
      <c r="B93" s="14"/>
      <c r="C93" s="14"/>
      <c r="D93" s="63"/>
      <c r="E93" s="14"/>
      <c r="F93" s="15"/>
      <c r="G93" s="14"/>
      <c r="H93" s="63"/>
      <c r="I93" s="14"/>
      <c r="J93" s="14"/>
      <c r="K93" s="16"/>
      <c r="L93" s="36"/>
      <c r="M93" s="16"/>
      <c r="N93" s="36"/>
      <c r="O93" s="16"/>
      <c r="P93" s="36"/>
      <c r="Q93" s="16"/>
      <c r="R93" s="36"/>
      <c r="S93" s="62"/>
      <c r="T93" s="62"/>
      <c r="U93" s="62"/>
      <c r="V93" s="62"/>
      <c r="W93" s="62"/>
      <c r="X93" s="62"/>
      <c r="Y93" s="62"/>
      <c r="Z93" s="62"/>
      <c r="AA93" s="62"/>
      <c r="AB93" s="62"/>
      <c r="AC93" s="62"/>
      <c r="AD93" s="62"/>
      <c r="AE93" s="62"/>
      <c r="AF93" s="62"/>
      <c r="AG93" s="62"/>
    </row>
    <row r="94" spans="1:33" s="41" customFormat="1" x14ac:dyDescent="0.3">
      <c r="A94" s="9"/>
      <c r="B94" s="9"/>
      <c r="C94" s="9"/>
      <c r="D94" s="8"/>
      <c r="E94" s="9"/>
      <c r="F94" s="10"/>
      <c r="G94" s="9"/>
      <c r="H94" s="8"/>
      <c r="I94" s="9"/>
      <c r="J94" s="9"/>
      <c r="K94" s="9"/>
      <c r="L94" s="64"/>
      <c r="M94" s="9"/>
      <c r="N94" s="64"/>
      <c r="O94" s="9"/>
      <c r="P94" s="64"/>
      <c r="Q94" s="9"/>
      <c r="R94" s="64"/>
      <c r="S94"/>
      <c r="T94" s="62"/>
      <c r="U94" s="62"/>
      <c r="V94" s="62"/>
      <c r="W94" s="62"/>
      <c r="X94" s="62"/>
      <c r="Y94" s="62"/>
      <c r="Z94" s="62"/>
      <c r="AA94" s="62"/>
      <c r="AB94" s="62"/>
      <c r="AC94" s="62"/>
      <c r="AD94" s="62"/>
      <c r="AE94" s="62"/>
      <c r="AF94" s="62"/>
      <c r="AG94" s="62"/>
    </row>
    <row r="95" spans="1:33" x14ac:dyDescent="0.3">
      <c r="A95" s="355"/>
      <c r="B95" s="355"/>
      <c r="C95" s="368"/>
      <c r="D95" s="355"/>
      <c r="E95" s="369"/>
      <c r="F95" s="355"/>
      <c r="G95" s="355"/>
      <c r="H95" s="355"/>
      <c r="I95" s="355"/>
      <c r="J95" s="355"/>
      <c r="K95" s="355"/>
      <c r="L95" s="355"/>
      <c r="M95" s="355"/>
      <c r="N95" s="355"/>
      <c r="O95" s="355"/>
      <c r="P95" s="355"/>
      <c r="Q95" s="355"/>
      <c r="R95" s="355"/>
      <c r="S95" s="354"/>
    </row>
    <row r="96" spans="1:33" s="354" customFormat="1" x14ac:dyDescent="0.3">
      <c r="A96" s="355" t="s">
        <v>239</v>
      </c>
      <c r="B96" s="355"/>
      <c r="C96" s="355"/>
      <c r="D96" s="355"/>
      <c r="E96" s="355"/>
      <c r="F96" s="355"/>
      <c r="G96" s="355"/>
      <c r="H96" s="355"/>
      <c r="I96" s="355"/>
      <c r="J96" s="355"/>
      <c r="K96" s="355"/>
      <c r="L96" s="355"/>
      <c r="M96" s="355"/>
      <c r="N96" s="355"/>
      <c r="O96" s="355"/>
      <c r="P96" s="355"/>
      <c r="Q96" s="355"/>
      <c r="R96" s="355"/>
      <c r="S96" s="393"/>
    </row>
    <row r="97" spans="1:19" s="393" customFormat="1" x14ac:dyDescent="0.3">
      <c r="A97" s="357" t="s">
        <v>240</v>
      </c>
      <c r="B97" s="357"/>
      <c r="C97" s="357"/>
      <c r="D97" s="357"/>
      <c r="E97" s="357"/>
      <c r="F97" s="357"/>
      <c r="G97" s="357"/>
      <c r="H97" s="357"/>
      <c r="I97" s="357"/>
      <c r="J97" s="357"/>
      <c r="K97" s="357"/>
      <c r="L97" s="357"/>
      <c r="M97" s="357"/>
      <c r="N97" s="357"/>
      <c r="O97" s="357"/>
      <c r="P97" s="357"/>
      <c r="Q97" s="357"/>
      <c r="R97" s="357"/>
      <c r="S97" s="354"/>
    </row>
    <row r="98" spans="1:19" s="354" customFormat="1" x14ac:dyDescent="0.3">
      <c r="A98" s="355"/>
      <c r="B98" s="355"/>
      <c r="C98" s="368"/>
      <c r="D98" s="355"/>
      <c r="E98" s="369"/>
      <c r="F98" s="355"/>
      <c r="G98" s="355"/>
      <c r="H98" s="355"/>
      <c r="I98" s="355"/>
      <c r="J98" s="355"/>
      <c r="K98" s="355"/>
      <c r="L98" s="355"/>
      <c r="M98" s="355"/>
      <c r="N98" s="355"/>
      <c r="O98" s="355"/>
      <c r="P98" s="355"/>
      <c r="Q98" s="355"/>
      <c r="R98" s="355"/>
    </row>
    <row r="99" spans="1:19" s="354" customFormat="1" x14ac:dyDescent="0.3">
      <c r="A99" s="355"/>
      <c r="B99" s="355"/>
      <c r="C99" s="368"/>
      <c r="D99" s="355"/>
      <c r="E99" s="369"/>
      <c r="F99" s="355"/>
      <c r="G99" s="355"/>
      <c r="H99" s="355"/>
      <c r="I99" s="355"/>
      <c r="J99" s="355"/>
      <c r="K99" s="355"/>
      <c r="L99" s="355"/>
      <c r="M99" s="355"/>
      <c r="N99" s="355"/>
      <c r="O99" s="355"/>
      <c r="P99" s="355"/>
      <c r="Q99" s="355"/>
      <c r="R99" s="355"/>
    </row>
    <row r="100" spans="1:19" s="354" customFormat="1" x14ac:dyDescent="0.3">
      <c r="A100" s="355"/>
      <c r="B100" s="355"/>
      <c r="C100" s="368"/>
      <c r="D100" s="355"/>
      <c r="E100" s="369"/>
      <c r="F100" s="355"/>
      <c r="G100" s="355"/>
      <c r="H100" s="355"/>
      <c r="I100" s="355"/>
      <c r="J100" s="355"/>
      <c r="K100" s="355"/>
      <c r="L100" s="355"/>
      <c r="M100" s="355"/>
      <c r="N100" s="355"/>
      <c r="O100" s="355"/>
      <c r="P100" s="355"/>
      <c r="Q100" s="355"/>
      <c r="R100" s="355"/>
    </row>
    <row r="101" spans="1:19" s="354" customFormat="1" x14ac:dyDescent="0.3">
      <c r="A101" s="355"/>
      <c r="B101" s="355"/>
      <c r="C101" s="368"/>
      <c r="D101" s="355"/>
      <c r="E101" s="369"/>
      <c r="F101" s="355"/>
      <c r="G101" s="355"/>
      <c r="H101" s="355"/>
      <c r="I101" s="355"/>
      <c r="J101" s="355"/>
      <c r="K101" s="355"/>
      <c r="L101" s="355"/>
      <c r="M101" s="355"/>
      <c r="N101" s="355"/>
      <c r="O101" s="355"/>
      <c r="P101" s="355"/>
      <c r="Q101" s="355"/>
      <c r="R101" s="355"/>
    </row>
    <row r="102" spans="1:19" s="354" customFormat="1" x14ac:dyDescent="0.3">
      <c r="A102" s="355"/>
      <c r="B102" s="355"/>
      <c r="C102" s="368"/>
      <c r="D102" s="355"/>
      <c r="E102" s="369"/>
      <c r="F102" s="355"/>
      <c r="G102" s="355"/>
      <c r="H102" s="355"/>
      <c r="I102" s="355"/>
      <c r="J102" s="355"/>
      <c r="K102" s="355"/>
      <c r="L102" s="355"/>
      <c r="M102" s="355"/>
      <c r="N102" s="355"/>
      <c r="O102" s="355"/>
      <c r="P102" s="355"/>
      <c r="Q102" s="355"/>
      <c r="R102" s="355"/>
    </row>
    <row r="103" spans="1:19" s="354" customFormat="1" x14ac:dyDescent="0.3">
      <c r="A103" s="355"/>
      <c r="B103" s="355"/>
      <c r="C103" s="368"/>
      <c r="D103" s="355"/>
      <c r="E103" s="369"/>
      <c r="F103" s="355"/>
      <c r="G103" s="355"/>
      <c r="H103" s="355"/>
      <c r="I103" s="355"/>
      <c r="J103" s="355"/>
      <c r="K103" s="355"/>
      <c r="L103" s="355"/>
      <c r="M103" s="355"/>
      <c r="N103" s="355"/>
      <c r="O103" s="355"/>
      <c r="P103" s="355"/>
      <c r="Q103" s="355"/>
      <c r="R103" s="355"/>
      <c r="S103"/>
    </row>
    <row r="104" spans="1:19" x14ac:dyDescent="0.3">
      <c r="A104" s="355"/>
      <c r="B104" s="355"/>
      <c r="C104" s="368"/>
      <c r="D104" s="355"/>
      <c r="E104" s="369"/>
      <c r="F104" s="355"/>
      <c r="G104" s="355"/>
      <c r="H104" s="355"/>
      <c r="I104" s="355"/>
      <c r="J104" s="355"/>
      <c r="K104" s="355"/>
      <c r="L104" s="355"/>
      <c r="M104" s="355"/>
      <c r="N104" s="355"/>
      <c r="O104" s="355"/>
      <c r="P104" s="355"/>
      <c r="Q104" s="355"/>
      <c r="R104" s="355"/>
    </row>
    <row r="105" spans="1:19" x14ac:dyDescent="0.3">
      <c r="A105" s="355"/>
      <c r="B105" s="355"/>
      <c r="C105" s="368"/>
      <c r="D105" s="355"/>
      <c r="E105" s="369"/>
      <c r="F105" s="355"/>
      <c r="G105" s="355"/>
      <c r="H105" s="355"/>
      <c r="I105" s="355"/>
      <c r="J105" s="355"/>
      <c r="K105" s="355"/>
      <c r="L105" s="355"/>
      <c r="M105" s="355"/>
      <c r="N105" s="355"/>
      <c r="O105" s="355"/>
      <c r="P105" s="355"/>
      <c r="Q105" s="355"/>
      <c r="R105" s="355"/>
    </row>
    <row r="106" spans="1:19" x14ac:dyDescent="0.3">
      <c r="A106" s="380" t="s">
        <v>236</v>
      </c>
      <c r="B106" s="355"/>
      <c r="C106" s="368"/>
      <c r="D106" s="355"/>
      <c r="E106" s="355"/>
      <c r="F106" s="355"/>
      <c r="G106" s="355"/>
      <c r="H106" s="355"/>
      <c r="I106" s="355"/>
      <c r="J106" s="355"/>
      <c r="K106" s="355"/>
      <c r="L106" s="355"/>
      <c r="M106" s="355"/>
      <c r="N106" s="355"/>
      <c r="O106" s="355"/>
      <c r="P106" s="355"/>
      <c r="Q106" s="355"/>
      <c r="R106" s="355"/>
    </row>
    <row r="107" spans="1:19" x14ac:dyDescent="0.3">
      <c r="A107" s="380" t="s">
        <v>237</v>
      </c>
      <c r="B107" s="355"/>
      <c r="C107" s="368"/>
      <c r="D107" s="355"/>
      <c r="E107" s="355"/>
      <c r="F107" s="355"/>
      <c r="G107" s="355"/>
      <c r="H107" s="355"/>
      <c r="I107" s="355"/>
      <c r="J107" s="355"/>
      <c r="K107" s="355"/>
      <c r="L107" s="355"/>
      <c r="M107" s="355"/>
      <c r="N107" s="355"/>
      <c r="O107" s="355"/>
      <c r="P107" s="355"/>
      <c r="Q107" s="355"/>
      <c r="R107" s="355"/>
    </row>
    <row r="108" spans="1:19" x14ac:dyDescent="0.3">
      <c r="A108" s="380" t="s">
        <v>238</v>
      </c>
      <c r="B108" s="355"/>
      <c r="C108" s="368"/>
      <c r="D108" s="355"/>
      <c r="E108" s="355"/>
      <c r="F108" s="355"/>
      <c r="G108" s="355"/>
      <c r="H108" s="355"/>
      <c r="I108" s="355"/>
      <c r="J108" s="355"/>
      <c r="K108" s="355"/>
      <c r="L108" s="355"/>
      <c r="M108" s="355"/>
      <c r="N108" s="355"/>
      <c r="O108" s="355"/>
      <c r="P108" s="355"/>
      <c r="Q108" s="355"/>
      <c r="R108" s="355"/>
    </row>
    <row r="109" spans="1:19" x14ac:dyDescent="0.3">
      <c r="A109" s="379"/>
      <c r="B109" s="355"/>
      <c r="C109" s="368"/>
      <c r="D109" s="355"/>
      <c r="E109" s="355"/>
      <c r="F109" s="355"/>
      <c r="G109" s="355"/>
      <c r="H109" s="355"/>
      <c r="I109" s="355"/>
      <c r="J109" s="355"/>
      <c r="K109" s="355"/>
      <c r="L109" s="355"/>
      <c r="M109" s="355"/>
      <c r="N109" s="355"/>
      <c r="O109" s="355"/>
      <c r="P109" s="355"/>
      <c r="Q109" s="355"/>
      <c r="R109" s="355"/>
    </row>
    <row r="110" spans="1:19" x14ac:dyDescent="0.3">
      <c r="A110" s="355"/>
      <c r="B110" s="355"/>
      <c r="C110" s="368"/>
      <c r="D110" s="355"/>
      <c r="E110" s="355"/>
      <c r="F110" s="355"/>
      <c r="G110" s="355"/>
      <c r="H110" s="355"/>
      <c r="I110" s="355"/>
      <c r="J110" s="355"/>
      <c r="K110" s="355"/>
      <c r="L110" s="355"/>
      <c r="M110" s="355"/>
      <c r="N110" s="355"/>
      <c r="O110" s="355"/>
      <c r="P110" s="355"/>
      <c r="Q110" s="355"/>
      <c r="R110" s="355"/>
      <c r="S110" s="353"/>
    </row>
    <row r="111" spans="1:19" s="353" customFormat="1" ht="15" customHeight="1" x14ac:dyDescent="0.3">
      <c r="A111" s="380" t="s">
        <v>232</v>
      </c>
      <c r="B111" s="378"/>
      <c r="C111" s="378"/>
      <c r="D111" s="378"/>
      <c r="E111" s="378"/>
      <c r="F111" s="378"/>
      <c r="G111" s="378"/>
      <c r="H111" s="378"/>
      <c r="I111" s="378"/>
      <c r="J111" s="378"/>
      <c r="K111" s="378"/>
      <c r="L111" s="378"/>
      <c r="M111" s="378"/>
      <c r="N111" s="378"/>
      <c r="O111" s="378"/>
      <c r="P111" s="378"/>
      <c r="Q111" s="378"/>
      <c r="R111" s="355"/>
    </row>
    <row r="112" spans="1:19" s="353" customFormat="1" ht="15" customHeight="1" x14ac:dyDescent="0.3">
      <c r="A112" s="380" t="s">
        <v>233</v>
      </c>
      <c r="B112" s="378"/>
      <c r="C112" s="378"/>
      <c r="D112" s="378"/>
      <c r="E112" s="378"/>
      <c r="F112" s="378"/>
      <c r="G112" s="378"/>
      <c r="H112" s="378"/>
      <c r="I112" s="378"/>
      <c r="J112" s="378"/>
      <c r="K112" s="378"/>
      <c r="L112" s="378"/>
      <c r="M112" s="378"/>
      <c r="N112" s="378"/>
      <c r="O112" s="378"/>
      <c r="P112" s="378"/>
      <c r="Q112" s="378"/>
      <c r="R112" s="355"/>
    </row>
    <row r="113" spans="1:19" s="353" customFormat="1" ht="15" customHeight="1" x14ac:dyDescent="0.3">
      <c r="A113" s="380" t="s">
        <v>234</v>
      </c>
      <c r="B113" s="378"/>
      <c r="C113" s="378"/>
      <c r="D113" s="378"/>
      <c r="E113" s="378"/>
      <c r="F113" s="378"/>
      <c r="G113" s="378"/>
      <c r="H113" s="378"/>
      <c r="I113" s="378"/>
      <c r="J113" s="378"/>
      <c r="K113" s="378"/>
      <c r="L113" s="378"/>
      <c r="M113" s="378"/>
      <c r="N113" s="378"/>
      <c r="O113" s="378"/>
      <c r="P113" s="378"/>
      <c r="Q113" s="378"/>
      <c r="R113" s="355"/>
    </row>
    <row r="114" spans="1:19" s="353" customFormat="1" ht="15" customHeight="1" x14ac:dyDescent="0.3">
      <c r="A114" s="380" t="s">
        <v>235</v>
      </c>
      <c r="B114" s="378"/>
      <c r="C114" s="378"/>
      <c r="D114" s="378"/>
      <c r="E114" s="378"/>
      <c r="F114" s="378"/>
      <c r="G114" s="378"/>
      <c r="H114" s="378"/>
      <c r="I114" s="378"/>
      <c r="J114" s="378"/>
      <c r="K114" s="378"/>
      <c r="L114" s="378"/>
      <c r="M114" s="378"/>
      <c r="N114" s="378"/>
      <c r="O114" s="378"/>
      <c r="P114" s="378"/>
      <c r="Q114" s="378"/>
      <c r="R114" s="355"/>
      <c r="S114"/>
    </row>
    <row r="115" spans="1:19" ht="15" customHeight="1" x14ac:dyDescent="0.3">
      <c r="A115" s="377"/>
      <c r="B115" s="355"/>
      <c r="C115" s="355"/>
      <c r="D115" s="355"/>
      <c r="E115" s="355"/>
      <c r="F115" s="355"/>
      <c r="G115" s="355"/>
      <c r="H115" s="355"/>
      <c r="I115" s="355"/>
      <c r="J115" s="355"/>
      <c r="K115" s="355"/>
      <c r="L115" s="355"/>
      <c r="M115" s="355"/>
      <c r="N115" s="355"/>
      <c r="O115" s="355"/>
      <c r="P115" s="355"/>
      <c r="Q115" s="355"/>
      <c r="R115" s="355"/>
    </row>
    <row r="116" spans="1:19" x14ac:dyDescent="0.3">
      <c r="A116" s="355"/>
      <c r="B116" s="355"/>
      <c r="C116" s="355"/>
      <c r="D116" s="355"/>
      <c r="E116" s="355"/>
      <c r="F116" s="355"/>
      <c r="G116" s="355"/>
      <c r="H116" s="355"/>
      <c r="I116" s="355"/>
      <c r="J116" s="355"/>
      <c r="K116" s="355"/>
      <c r="L116" s="355"/>
      <c r="M116" s="355"/>
      <c r="N116" s="355"/>
      <c r="O116" s="355"/>
      <c r="P116" s="355"/>
      <c r="Q116" s="355"/>
      <c r="R116" s="355"/>
    </row>
    <row r="117" spans="1:19" x14ac:dyDescent="0.3">
      <c r="A117" s="380" t="s">
        <v>244</v>
      </c>
      <c r="C117" s="355"/>
      <c r="D117" s="355"/>
      <c r="E117" s="355"/>
      <c r="F117" s="355"/>
      <c r="G117" s="355"/>
      <c r="H117" s="357" t="s">
        <v>243</v>
      </c>
      <c r="I117" s="357"/>
      <c r="J117" s="357"/>
      <c r="K117" s="357"/>
      <c r="L117" s="357"/>
      <c r="M117" s="357"/>
      <c r="N117" s="355"/>
      <c r="O117" s="355"/>
      <c r="P117" s="355"/>
      <c r="Q117" s="355"/>
      <c r="R117" s="355"/>
    </row>
  </sheetData>
  <mergeCells count="2">
    <mergeCell ref="A3:R3"/>
    <mergeCell ref="I2:K2"/>
  </mergeCells>
  <hyperlinks>
    <hyperlink ref="A97:IV97" r:id="rId1" display="http://www.cals.uidaho.edu/aers/LivestockEBB2010/EBBD5105000.xlsx"/>
  </hyperlinks>
  <printOptions horizontalCentered="1"/>
  <pageMargins left="0.25" right="0.25" top="0.75" bottom="0.75" header="0.3" footer="0.3"/>
  <pageSetup scale="72" fitToHeight="2" orientation="portrait" r:id="rId2"/>
  <headerFooter>
    <oddFooter>&amp;L&amp;A&amp;C&amp;F&amp;R&amp;D</oddFooter>
  </headerFooter>
  <rowBreaks count="1" manualBreakCount="1">
    <brk id="58" max="1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Q77"/>
  <sheetViews>
    <sheetView topLeftCell="A16" zoomScaleNormal="100" workbookViewId="0">
      <selection activeCell="I61" sqref="I61"/>
    </sheetView>
  </sheetViews>
  <sheetFormatPr defaultColWidth="8.88671875" defaultRowHeight="14.4" x14ac:dyDescent="0.3"/>
  <cols>
    <col min="1" max="1" width="31.33203125" style="65" customWidth="1"/>
    <col min="2" max="2" width="2" style="65" customWidth="1"/>
    <col min="3" max="3" width="13.88671875" style="241" customWidth="1"/>
    <col min="4" max="4" width="1.109375" style="65" customWidth="1"/>
    <col min="5" max="5" width="9.5546875" style="37" customWidth="1"/>
    <col min="6" max="6" width="1.5546875" style="65" customWidth="1"/>
    <col min="7" max="7" width="12.109375" style="65" customWidth="1"/>
    <col min="8" max="8" width="1.6640625" style="65" customWidth="1"/>
    <col min="9" max="9" width="15.6640625" style="35" customWidth="1"/>
    <col min="10" max="10" width="1.5546875" style="65" customWidth="1"/>
    <col min="11" max="11" width="8.109375" style="341" customWidth="1"/>
    <col min="12" max="12" width="11.44140625" style="329" customWidth="1"/>
    <col min="13" max="13" width="12" style="309" customWidth="1"/>
    <col min="14" max="14" width="10.33203125" style="66" customWidth="1"/>
    <col min="15" max="15" width="10.6640625" style="253" customWidth="1"/>
    <col min="16" max="16" width="14" style="125" customWidth="1"/>
    <col min="17" max="17" width="1.88671875" style="125" customWidth="1"/>
    <col min="18" max="16384" width="8.88671875" style="65"/>
  </cols>
  <sheetData>
    <row r="1" spans="1:17" ht="25.5" customHeight="1" thickBot="1" x14ac:dyDescent="0.35">
      <c r="A1" s="399" t="s">
        <v>204</v>
      </c>
      <c r="B1" s="399"/>
      <c r="C1" s="399"/>
      <c r="D1" s="399"/>
      <c r="E1" s="399"/>
      <c r="F1" s="399"/>
      <c r="G1" s="399"/>
      <c r="H1" s="399"/>
      <c r="I1" s="399"/>
      <c r="J1" s="399"/>
      <c r="K1" s="330"/>
      <c r="L1" s="316"/>
      <c r="M1" s="298"/>
      <c r="N1" s="134"/>
      <c r="O1" s="269"/>
      <c r="P1" s="134"/>
      <c r="Q1" s="134"/>
    </row>
    <row r="2" spans="1:17" s="176" customFormat="1" ht="16.5" thickTop="1" x14ac:dyDescent="0.25">
      <c r="A2" s="170"/>
      <c r="B2" s="170"/>
      <c r="C2" s="171" t="s">
        <v>0</v>
      </c>
      <c r="D2" s="171"/>
      <c r="E2" s="172"/>
      <c r="F2" s="171"/>
      <c r="G2" s="171" t="s">
        <v>1</v>
      </c>
      <c r="H2" s="171"/>
      <c r="I2" s="173" t="s">
        <v>2</v>
      </c>
      <c r="J2" s="174"/>
      <c r="K2" s="331" t="s">
        <v>109</v>
      </c>
      <c r="L2" s="317" t="s">
        <v>112</v>
      </c>
      <c r="M2" s="299" t="s">
        <v>112</v>
      </c>
      <c r="N2" s="175" t="s">
        <v>108</v>
      </c>
      <c r="O2" s="248" t="s">
        <v>102</v>
      </c>
      <c r="P2" s="199" t="s">
        <v>102</v>
      </c>
      <c r="Q2" s="200"/>
    </row>
    <row r="3" spans="1:17" s="176" customFormat="1" ht="14.4" customHeight="1" x14ac:dyDescent="0.25">
      <c r="A3" s="177" t="s">
        <v>3</v>
      </c>
      <c r="B3" s="178"/>
      <c r="C3" s="177" t="s">
        <v>137</v>
      </c>
      <c r="D3" s="177"/>
      <c r="E3" s="179" t="s">
        <v>4</v>
      </c>
      <c r="F3" s="177"/>
      <c r="G3" s="177" t="s">
        <v>5</v>
      </c>
      <c r="H3" s="177"/>
      <c r="I3" s="180" t="s">
        <v>5</v>
      </c>
      <c r="J3" s="181"/>
      <c r="K3" s="332" t="s">
        <v>110</v>
      </c>
      <c r="L3" s="318" t="s">
        <v>105</v>
      </c>
      <c r="M3" s="300" t="s">
        <v>105</v>
      </c>
      <c r="N3" s="182" t="s">
        <v>107</v>
      </c>
      <c r="O3" s="249" t="s">
        <v>103</v>
      </c>
      <c r="P3" s="200" t="s">
        <v>103</v>
      </c>
      <c r="Q3" s="200"/>
    </row>
    <row r="4" spans="1:17" s="176" customFormat="1" ht="15.75" x14ac:dyDescent="0.25">
      <c r="A4" s="183"/>
      <c r="B4" s="184"/>
      <c r="C4" s="183"/>
      <c r="D4" s="184"/>
      <c r="E4" s="185"/>
      <c r="F4" s="184"/>
      <c r="G4" s="184"/>
      <c r="H4" s="184"/>
      <c r="I4" s="186"/>
      <c r="J4" s="187"/>
      <c r="K4" s="333" t="s">
        <v>99</v>
      </c>
      <c r="L4" s="319" t="s">
        <v>87</v>
      </c>
      <c r="M4" s="301" t="s">
        <v>113</v>
      </c>
      <c r="N4" s="188" t="s">
        <v>101</v>
      </c>
      <c r="O4" s="250" t="s">
        <v>104</v>
      </c>
      <c r="P4" s="201" t="s">
        <v>105</v>
      </c>
      <c r="Q4" s="201"/>
    </row>
    <row r="5" spans="1:17" ht="15" x14ac:dyDescent="0.25">
      <c r="A5" s="16"/>
      <c r="B5" s="16"/>
      <c r="C5" s="233"/>
      <c r="D5" s="16"/>
      <c r="E5" s="19"/>
      <c r="F5" s="16"/>
      <c r="G5" s="20"/>
      <c r="H5" s="16"/>
      <c r="I5" s="17"/>
      <c r="J5" s="18"/>
      <c r="K5" s="334"/>
      <c r="L5" s="320"/>
      <c r="M5" s="302"/>
      <c r="N5" s="401"/>
      <c r="O5" s="401"/>
      <c r="P5" s="401"/>
      <c r="Q5" s="133"/>
    </row>
    <row r="6" spans="1:17" ht="15" x14ac:dyDescent="0.25">
      <c r="A6" s="163" t="s">
        <v>8</v>
      </c>
      <c r="B6" s="144"/>
      <c r="C6" s="234"/>
      <c r="D6" s="144"/>
      <c r="E6" s="145"/>
      <c r="F6" s="144"/>
      <c r="G6" s="147"/>
      <c r="H6" s="144"/>
      <c r="I6" s="148"/>
      <c r="J6" s="149"/>
      <c r="K6" s="335"/>
      <c r="L6" s="321"/>
      <c r="M6" s="303"/>
      <c r="N6" s="67"/>
      <c r="O6" s="157"/>
      <c r="P6" s="151"/>
      <c r="Q6" s="151"/>
    </row>
    <row r="7" spans="1:17" ht="7.5" customHeight="1" x14ac:dyDescent="0.25">
      <c r="A7" s="144"/>
      <c r="B7" s="144"/>
      <c r="C7" s="234"/>
      <c r="D7" s="144"/>
      <c r="E7" s="145"/>
      <c r="F7" s="144"/>
      <c r="G7" s="147"/>
      <c r="H7" s="144"/>
      <c r="I7" s="148"/>
      <c r="J7" s="149"/>
      <c r="K7" s="335"/>
      <c r="L7" s="321"/>
      <c r="M7" s="303"/>
      <c r="N7" s="67"/>
      <c r="O7" s="157"/>
      <c r="P7" s="151"/>
      <c r="Q7" s="151"/>
    </row>
    <row r="8" spans="1:17" ht="15" x14ac:dyDescent="0.25">
      <c r="A8" s="164" t="s">
        <v>9</v>
      </c>
      <c r="B8" s="144"/>
      <c r="C8" s="234"/>
      <c r="D8" s="144"/>
      <c r="E8" s="145"/>
      <c r="F8" s="144"/>
      <c r="G8" s="147"/>
      <c r="H8" s="144"/>
      <c r="I8" s="205">
        <f>SUM(I9:I9)</f>
        <v>3062500</v>
      </c>
      <c r="J8" s="149"/>
      <c r="K8" s="335"/>
      <c r="L8" s="321"/>
      <c r="M8" s="303"/>
      <c r="N8" s="67"/>
      <c r="O8" s="157"/>
      <c r="P8" s="151"/>
      <c r="Q8" s="151"/>
    </row>
    <row r="9" spans="1:17" ht="15" x14ac:dyDescent="0.25">
      <c r="A9" s="165" t="s">
        <v>10</v>
      </c>
      <c r="B9" s="144"/>
      <c r="C9" s="235">
        <f>OpenLot_No.</f>
        <v>2500</v>
      </c>
      <c r="D9" s="144"/>
      <c r="E9" s="150" t="s">
        <v>13</v>
      </c>
      <c r="F9" s="144"/>
      <c r="G9" s="166">
        <v>1225</v>
      </c>
      <c r="H9" s="144"/>
      <c r="I9" s="206">
        <f>C9*G9</f>
        <v>3062500</v>
      </c>
      <c r="J9" s="149"/>
      <c r="K9" s="335">
        <v>3</v>
      </c>
      <c r="L9" s="322">
        <v>525</v>
      </c>
      <c r="M9" s="303">
        <f>L9*C9</f>
        <v>1312500</v>
      </c>
      <c r="N9" s="67">
        <v>0.05</v>
      </c>
      <c r="O9" s="157">
        <v>0.36720000000000003</v>
      </c>
      <c r="P9" s="151">
        <f>O9*(I9-M9)+(N9*M9)</f>
        <v>708225</v>
      </c>
      <c r="Q9" s="151"/>
    </row>
    <row r="10" spans="1:17" s="77" customFormat="1" ht="7.5" customHeight="1" x14ac:dyDescent="0.25">
      <c r="A10" s="144"/>
      <c r="B10" s="144"/>
      <c r="C10" s="234"/>
      <c r="D10" s="144"/>
      <c r="E10" s="145"/>
      <c r="F10" s="144"/>
      <c r="G10" s="147"/>
      <c r="H10" s="144"/>
      <c r="I10" s="206"/>
      <c r="J10" s="149"/>
      <c r="K10" s="335"/>
      <c r="L10" s="321"/>
      <c r="M10" s="303"/>
      <c r="N10" s="67"/>
      <c r="O10" s="157"/>
      <c r="P10" s="151"/>
      <c r="Q10" s="151"/>
    </row>
    <row r="11" spans="1:17" ht="15" x14ac:dyDescent="0.25">
      <c r="A11" s="164" t="s">
        <v>11</v>
      </c>
      <c r="B11" s="144"/>
      <c r="C11" s="234"/>
      <c r="D11" s="144"/>
      <c r="E11" s="145"/>
      <c r="F11" s="144"/>
      <c r="G11" s="147"/>
      <c r="H11" s="144"/>
      <c r="I11" s="205">
        <f>SUM(I12:I13)</f>
        <v>1787500</v>
      </c>
      <c r="J11" s="149"/>
      <c r="K11" s="335"/>
      <c r="L11" s="321"/>
      <c r="M11" s="303"/>
      <c r="N11" s="67"/>
      <c r="O11" s="157"/>
      <c r="P11" s="151"/>
      <c r="Q11" s="151"/>
    </row>
    <row r="12" spans="1:17" ht="15" x14ac:dyDescent="0.25">
      <c r="A12" s="167" t="s">
        <v>12</v>
      </c>
      <c r="B12" s="144"/>
      <c r="C12" s="235">
        <f>0.06*C9</f>
        <v>150</v>
      </c>
      <c r="D12" s="144"/>
      <c r="E12" s="150" t="s">
        <v>7</v>
      </c>
      <c r="F12" s="144"/>
      <c r="G12" s="166">
        <v>4000</v>
      </c>
      <c r="H12" s="144"/>
      <c r="I12" s="206">
        <f>C12*G12</f>
        <v>600000</v>
      </c>
      <c r="J12" s="149"/>
      <c r="K12" s="335">
        <v>30</v>
      </c>
      <c r="L12" s="321"/>
      <c r="M12" s="303"/>
      <c r="N12" s="67">
        <v>7.4999999999999997E-2</v>
      </c>
      <c r="O12" s="157"/>
      <c r="P12" s="151">
        <f>-PMT(N12,K12,I12)</f>
        <v>50802.741460583886</v>
      </c>
      <c r="Q12" s="151"/>
    </row>
    <row r="13" spans="1:17" ht="15" x14ac:dyDescent="0.25">
      <c r="A13" s="152" t="s">
        <v>14</v>
      </c>
      <c r="B13" s="144"/>
      <c r="C13" s="235">
        <f>OpenLot_No.</f>
        <v>2500</v>
      </c>
      <c r="D13" s="144"/>
      <c r="E13" s="150" t="s">
        <v>13</v>
      </c>
      <c r="F13" s="144"/>
      <c r="G13" s="153">
        <v>475</v>
      </c>
      <c r="H13" s="144"/>
      <c r="I13" s="206">
        <f>C13*G13</f>
        <v>1187500</v>
      </c>
      <c r="J13" s="149"/>
      <c r="K13" s="335"/>
      <c r="L13" s="321"/>
      <c r="M13" s="303"/>
      <c r="N13" s="67"/>
      <c r="O13" s="157"/>
      <c r="P13" s="151"/>
      <c r="Q13" s="151"/>
    </row>
    <row r="14" spans="1:17" s="77" customFormat="1" ht="7.5" customHeight="1" x14ac:dyDescent="0.25">
      <c r="A14" s="144"/>
      <c r="B14" s="144"/>
      <c r="C14" s="234"/>
      <c r="D14" s="144"/>
      <c r="E14" s="145"/>
      <c r="F14" s="144"/>
      <c r="G14" s="147"/>
      <c r="H14" s="144"/>
      <c r="I14" s="206"/>
      <c r="J14" s="149"/>
      <c r="K14" s="335"/>
      <c r="L14" s="321"/>
      <c r="M14" s="303"/>
      <c r="N14" s="67"/>
      <c r="O14" s="157"/>
      <c r="P14" s="151"/>
      <c r="Q14" s="151"/>
    </row>
    <row r="15" spans="1:17" ht="15" x14ac:dyDescent="0.25">
      <c r="A15" s="164" t="s">
        <v>15</v>
      </c>
      <c r="B15" s="144"/>
      <c r="C15" s="234">
        <v>1</v>
      </c>
      <c r="D15" s="144"/>
      <c r="E15" s="145"/>
      <c r="F15" s="144"/>
      <c r="G15" s="147"/>
      <c r="H15" s="144"/>
      <c r="I15" s="207">
        <f>SUM(I16:I19)</f>
        <v>211710</v>
      </c>
      <c r="J15" s="149"/>
      <c r="K15" s="335"/>
      <c r="L15" s="321"/>
      <c r="M15" s="303"/>
      <c r="N15" s="67"/>
      <c r="O15" s="157"/>
      <c r="P15" s="151"/>
      <c r="Q15" s="151"/>
    </row>
    <row r="16" spans="1:17" ht="15" x14ac:dyDescent="0.25">
      <c r="A16" s="165" t="s">
        <v>16</v>
      </c>
      <c r="B16" s="144"/>
      <c r="C16" s="235">
        <v>1</v>
      </c>
      <c r="D16" s="144"/>
      <c r="E16" s="150" t="s">
        <v>17</v>
      </c>
      <c r="F16" s="144"/>
      <c r="G16" s="166">
        <v>100000</v>
      </c>
      <c r="H16" s="144"/>
      <c r="I16" s="198">
        <f>C16*G16</f>
        <v>100000</v>
      </c>
      <c r="J16" s="149"/>
      <c r="K16" s="335">
        <v>30</v>
      </c>
      <c r="L16" s="321">
        <v>0</v>
      </c>
      <c r="M16" s="303"/>
      <c r="N16" s="67">
        <v>0.06</v>
      </c>
      <c r="O16" s="194">
        <v>7.2650000000000006E-2</v>
      </c>
      <c r="P16" s="151">
        <f>O16*I16</f>
        <v>7265.0000000000009</v>
      </c>
      <c r="Q16" s="151"/>
    </row>
    <row r="17" spans="1:17" ht="15" x14ac:dyDescent="0.25">
      <c r="A17" s="152" t="s">
        <v>33</v>
      </c>
      <c r="B17" s="144"/>
      <c r="C17" s="235">
        <v>1</v>
      </c>
      <c r="D17" s="144"/>
      <c r="E17" s="150" t="s">
        <v>17</v>
      </c>
      <c r="F17" s="144"/>
      <c r="G17" s="166">
        <v>105000</v>
      </c>
      <c r="H17" s="144"/>
      <c r="I17" s="198">
        <f>C17*G17</f>
        <v>105000</v>
      </c>
      <c r="J17" s="149"/>
      <c r="K17" s="335">
        <v>30</v>
      </c>
      <c r="L17" s="321">
        <v>0</v>
      </c>
      <c r="M17" s="303"/>
      <c r="N17" s="67">
        <v>0.06</v>
      </c>
      <c r="O17" s="194">
        <v>7.2650000000000006E-2</v>
      </c>
      <c r="P17" s="151">
        <f>O17*I17</f>
        <v>7628.2500000000009</v>
      </c>
      <c r="Q17" s="151"/>
    </row>
    <row r="18" spans="1:17" ht="15" x14ac:dyDescent="0.25">
      <c r="A18" s="152" t="s">
        <v>34</v>
      </c>
      <c r="B18" s="144"/>
      <c r="C18" s="235">
        <v>2</v>
      </c>
      <c r="D18" s="144"/>
      <c r="E18" s="150" t="s">
        <v>17</v>
      </c>
      <c r="F18" s="144"/>
      <c r="G18" s="166">
        <v>2680</v>
      </c>
      <c r="H18" s="144"/>
      <c r="I18" s="198">
        <f>C18*G18</f>
        <v>5360</v>
      </c>
      <c r="J18" s="149"/>
      <c r="K18" s="335">
        <v>30</v>
      </c>
      <c r="L18" s="321">
        <v>0</v>
      </c>
      <c r="M18" s="303"/>
      <c r="N18" s="67">
        <v>0.06</v>
      </c>
      <c r="O18" s="194">
        <v>7.2650000000000006E-2</v>
      </c>
      <c r="P18" s="151">
        <f>O18*I18</f>
        <v>389.40400000000005</v>
      </c>
      <c r="Q18" s="151"/>
    </row>
    <row r="19" spans="1:17" ht="15" x14ac:dyDescent="0.25">
      <c r="A19" s="152" t="s">
        <v>35</v>
      </c>
      <c r="B19" s="144"/>
      <c r="C19" s="235">
        <v>3</v>
      </c>
      <c r="D19" s="144"/>
      <c r="E19" s="150" t="s">
        <v>36</v>
      </c>
      <c r="F19" s="144"/>
      <c r="G19" s="166">
        <v>450</v>
      </c>
      <c r="H19" s="144"/>
      <c r="I19" s="198">
        <f>C19*G19</f>
        <v>1350</v>
      </c>
      <c r="J19" s="149"/>
      <c r="K19" s="335">
        <v>5</v>
      </c>
      <c r="L19" s="321">
        <v>0</v>
      </c>
      <c r="M19" s="303"/>
      <c r="N19" s="67">
        <v>0.06</v>
      </c>
      <c r="O19" s="157">
        <v>0.2374</v>
      </c>
      <c r="P19" s="151">
        <f>O19*I19</f>
        <v>320.49</v>
      </c>
      <c r="Q19" s="151"/>
    </row>
    <row r="20" spans="1:17" s="77" customFormat="1" ht="7.5" customHeight="1" x14ac:dyDescent="0.25">
      <c r="A20" s="144"/>
      <c r="B20" s="144"/>
      <c r="C20" s="234"/>
      <c r="D20" s="144"/>
      <c r="E20" s="145"/>
      <c r="F20" s="144"/>
      <c r="G20" s="147"/>
      <c r="H20" s="144"/>
      <c r="I20" s="206"/>
      <c r="J20" s="149"/>
      <c r="K20" s="335"/>
      <c r="L20" s="321"/>
      <c r="M20" s="303"/>
      <c r="N20" s="67"/>
      <c r="O20" s="157"/>
      <c r="P20" s="151"/>
      <c r="Q20" s="151"/>
    </row>
    <row r="21" spans="1:17" s="77" customFormat="1" ht="15" x14ac:dyDescent="0.25">
      <c r="A21" s="23" t="s">
        <v>192</v>
      </c>
      <c r="B21" s="14"/>
      <c r="C21" s="63"/>
      <c r="D21" s="14"/>
      <c r="E21" s="15"/>
      <c r="F21" s="14"/>
      <c r="G21" s="21"/>
      <c r="H21" s="14"/>
      <c r="I21" s="314">
        <f>SUM(I22:I22)</f>
        <v>3750000</v>
      </c>
      <c r="J21" s="6"/>
      <c r="K21" s="334"/>
      <c r="L21" s="323"/>
      <c r="M21" s="302"/>
      <c r="N21" s="244"/>
      <c r="O21" s="251"/>
      <c r="P21" s="230"/>
      <c r="Q21" s="151"/>
    </row>
    <row r="22" spans="1:17" s="77" customFormat="1" ht="15" x14ac:dyDescent="0.25">
      <c r="A22" s="29" t="s">
        <v>193</v>
      </c>
      <c r="B22" s="14"/>
      <c r="C22" s="235">
        <f>OpenLot_No.</f>
        <v>2500</v>
      </c>
      <c r="D22" s="14"/>
      <c r="E22" s="27" t="s">
        <v>20</v>
      </c>
      <c r="F22" s="14"/>
      <c r="G22" s="245">
        <v>1500</v>
      </c>
      <c r="H22" s="14"/>
      <c r="I22" s="315">
        <f>C22*G22</f>
        <v>3750000</v>
      </c>
      <c r="J22" s="6"/>
      <c r="K22" s="334">
        <v>30</v>
      </c>
      <c r="L22" s="323"/>
      <c r="M22" s="302"/>
      <c r="N22" s="67">
        <v>0.06</v>
      </c>
      <c r="O22" s="270">
        <v>7.2650000000000006E-2</v>
      </c>
      <c r="P22" s="247">
        <f>O22*(I22-L22)+(N22*L22)</f>
        <v>272437.5</v>
      </c>
      <c r="Q22" s="151"/>
    </row>
    <row r="23" spans="1:17" s="77" customFormat="1" ht="7.5" customHeight="1" x14ac:dyDescent="0.25">
      <c r="A23" s="144"/>
      <c r="B23" s="144"/>
      <c r="C23" s="234"/>
      <c r="D23" s="144"/>
      <c r="E23" s="145"/>
      <c r="F23" s="144"/>
      <c r="G23" s="147"/>
      <c r="H23" s="144"/>
      <c r="I23" s="206"/>
      <c r="J23" s="149"/>
      <c r="K23" s="335"/>
      <c r="L23" s="321"/>
      <c r="M23" s="303"/>
      <c r="N23" s="67"/>
      <c r="O23" s="157"/>
      <c r="P23" s="151"/>
      <c r="Q23" s="151"/>
    </row>
    <row r="24" spans="1:17" ht="15" x14ac:dyDescent="0.25">
      <c r="A24" s="164" t="s">
        <v>18</v>
      </c>
      <c r="B24" s="144"/>
      <c r="C24" s="234"/>
      <c r="D24" s="144"/>
      <c r="E24" s="145"/>
      <c r="F24" s="144"/>
      <c r="G24" s="147"/>
      <c r="H24" s="144"/>
      <c r="I24" s="207">
        <f>SUM(I25:I26)</f>
        <v>1181000</v>
      </c>
      <c r="J24" s="149"/>
      <c r="K24" s="335">
        <v>30</v>
      </c>
      <c r="L24" s="321">
        <f>0.1*I24</f>
        <v>118100</v>
      </c>
      <c r="M24" s="303"/>
      <c r="N24" s="67">
        <v>0.06</v>
      </c>
      <c r="O24" s="194">
        <v>7.2650000000000006E-2</v>
      </c>
      <c r="P24" s="151">
        <f>O24*(I24-M24)+(N24*M24)</f>
        <v>85799.650000000009</v>
      </c>
      <c r="Q24" s="151"/>
    </row>
    <row r="25" spans="1:17" ht="15" x14ac:dyDescent="0.25">
      <c r="A25" s="167" t="s">
        <v>22</v>
      </c>
      <c r="B25" s="144"/>
      <c r="C25" s="235">
        <v>3500</v>
      </c>
      <c r="D25" s="144"/>
      <c r="E25" s="150" t="s">
        <v>19</v>
      </c>
      <c r="F25" s="144"/>
      <c r="G25" s="166">
        <v>70</v>
      </c>
      <c r="H25" s="144"/>
      <c r="I25" s="198">
        <f>C25*G25</f>
        <v>245000</v>
      </c>
      <c r="J25" s="149"/>
      <c r="K25" s="335"/>
      <c r="L25" s="321"/>
      <c r="M25" s="303"/>
      <c r="N25" s="67"/>
      <c r="O25" s="157"/>
      <c r="P25" s="151"/>
      <c r="Q25" s="151"/>
    </row>
    <row r="26" spans="1:17" ht="15" x14ac:dyDescent="0.25">
      <c r="A26" s="154" t="s">
        <v>32</v>
      </c>
      <c r="B26" s="144"/>
      <c r="C26" s="235">
        <v>72</v>
      </c>
      <c r="D26" s="144"/>
      <c r="E26" s="150" t="s">
        <v>20</v>
      </c>
      <c r="F26" s="144"/>
      <c r="G26" s="166">
        <v>13000</v>
      </c>
      <c r="H26" s="144"/>
      <c r="I26" s="198">
        <f>C26*G26</f>
        <v>936000</v>
      </c>
      <c r="J26" s="149"/>
      <c r="K26" s="335"/>
      <c r="L26" s="321"/>
      <c r="M26" s="303"/>
      <c r="N26" s="67"/>
      <c r="O26" s="157"/>
      <c r="P26" s="151"/>
      <c r="Q26" s="151"/>
    </row>
    <row r="27" spans="1:17" s="77" customFormat="1" ht="7.5" customHeight="1" x14ac:dyDescent="0.25">
      <c r="A27" s="144"/>
      <c r="B27" s="144"/>
      <c r="C27" s="234"/>
      <c r="D27" s="144"/>
      <c r="E27" s="145"/>
      <c r="F27" s="144"/>
      <c r="G27" s="147"/>
      <c r="H27" s="144"/>
      <c r="I27" s="206"/>
      <c r="J27" s="149"/>
      <c r="K27" s="335"/>
      <c r="L27" s="321"/>
      <c r="M27" s="303"/>
      <c r="N27" s="67"/>
      <c r="O27" s="157"/>
      <c r="P27" s="151"/>
      <c r="Q27" s="151"/>
    </row>
    <row r="28" spans="1:17" ht="15" x14ac:dyDescent="0.25">
      <c r="A28" s="164" t="s">
        <v>21</v>
      </c>
      <c r="B28" s="144"/>
      <c r="C28" s="234"/>
      <c r="D28" s="144"/>
      <c r="E28" s="145"/>
      <c r="F28" s="144"/>
      <c r="G28" s="147"/>
      <c r="H28" s="144"/>
      <c r="I28" s="207">
        <f>SUM(I29:I30)</f>
        <v>226000</v>
      </c>
      <c r="J28" s="149"/>
      <c r="K28" s="335">
        <v>30</v>
      </c>
      <c r="L28" s="321">
        <v>0</v>
      </c>
      <c r="M28" s="303"/>
      <c r="N28" s="67">
        <v>0.06</v>
      </c>
      <c r="O28" s="194">
        <v>7.2650000000000006E-2</v>
      </c>
      <c r="P28" s="151">
        <f>O28*I28</f>
        <v>16418.900000000001</v>
      </c>
      <c r="Q28" s="151"/>
    </row>
    <row r="29" spans="1:17" ht="15" x14ac:dyDescent="0.25">
      <c r="A29" s="167" t="s">
        <v>22</v>
      </c>
      <c r="B29" s="144"/>
      <c r="C29" s="235">
        <v>1000</v>
      </c>
      <c r="D29" s="144"/>
      <c r="E29" s="150" t="s">
        <v>19</v>
      </c>
      <c r="F29" s="144"/>
      <c r="G29" s="166">
        <v>70</v>
      </c>
      <c r="H29" s="144"/>
      <c r="I29" s="198">
        <f>C29*G29</f>
        <v>70000</v>
      </c>
      <c r="J29" s="149"/>
      <c r="K29" s="335"/>
      <c r="L29" s="321"/>
      <c r="M29" s="303"/>
      <c r="N29" s="67"/>
      <c r="O29" s="157"/>
      <c r="P29" s="151"/>
      <c r="Q29" s="151"/>
    </row>
    <row r="30" spans="1:17" ht="15" x14ac:dyDescent="0.25">
      <c r="A30" s="154" t="s">
        <v>31</v>
      </c>
      <c r="B30" s="144"/>
      <c r="C30" s="235">
        <v>12</v>
      </c>
      <c r="D30" s="144"/>
      <c r="E30" s="150" t="s">
        <v>20</v>
      </c>
      <c r="F30" s="144"/>
      <c r="G30" s="166">
        <v>13000</v>
      </c>
      <c r="H30" s="144"/>
      <c r="I30" s="198">
        <f>C30*G30</f>
        <v>156000</v>
      </c>
      <c r="J30" s="149"/>
      <c r="K30" s="335"/>
      <c r="L30" s="321"/>
      <c r="M30" s="303"/>
      <c r="N30" s="67"/>
      <c r="O30" s="157"/>
      <c r="P30" s="151"/>
      <c r="Q30" s="151"/>
    </row>
    <row r="31" spans="1:17" s="77" customFormat="1" ht="7.5" customHeight="1" x14ac:dyDescent="0.25">
      <c r="A31" s="144"/>
      <c r="B31" s="144"/>
      <c r="C31" s="234"/>
      <c r="D31" s="144"/>
      <c r="E31" s="145"/>
      <c r="F31" s="144"/>
      <c r="G31" s="147"/>
      <c r="H31" s="144"/>
      <c r="I31" s="206"/>
      <c r="J31" s="149"/>
      <c r="K31" s="335"/>
      <c r="L31" s="321"/>
      <c r="M31" s="303"/>
      <c r="N31" s="67"/>
      <c r="O31" s="157"/>
      <c r="P31" s="151"/>
      <c r="Q31" s="151"/>
    </row>
    <row r="32" spans="1:17" ht="15" x14ac:dyDescent="0.25">
      <c r="A32" s="164" t="s">
        <v>6</v>
      </c>
      <c r="B32" s="144"/>
      <c r="C32" s="236"/>
      <c r="D32" s="144"/>
      <c r="E32" s="145"/>
      <c r="F32" s="144"/>
      <c r="G32" s="147"/>
      <c r="H32" s="144"/>
      <c r="I32" s="207">
        <f>SUM(I33:I53)</f>
        <v>1208503</v>
      </c>
      <c r="J32" s="149"/>
      <c r="K32" s="335"/>
      <c r="L32" s="321"/>
      <c r="M32" s="303"/>
      <c r="N32" s="67"/>
      <c r="O32" s="195" t="s">
        <v>106</v>
      </c>
      <c r="P32" s="196">
        <f>SUM(P33:P53)</f>
        <v>173434.38493971154</v>
      </c>
      <c r="Q32" s="196"/>
    </row>
    <row r="33" spans="1:17" ht="15" x14ac:dyDescent="0.25">
      <c r="A33" s="165" t="s">
        <v>23</v>
      </c>
      <c r="B33" s="144"/>
      <c r="C33" s="232">
        <v>1</v>
      </c>
      <c r="D33" s="144"/>
      <c r="E33" s="168" t="s">
        <v>17</v>
      </c>
      <c r="F33" s="144"/>
      <c r="G33" s="166">
        <v>45000</v>
      </c>
      <c r="H33" s="144"/>
      <c r="I33" s="198">
        <f t="shared" ref="I33:I53" si="0">C33*G33</f>
        <v>45000</v>
      </c>
      <c r="J33" s="149"/>
      <c r="K33" s="335">
        <v>25</v>
      </c>
      <c r="L33" s="321">
        <f>0.1*G33</f>
        <v>4500</v>
      </c>
      <c r="M33" s="303">
        <f>L33*C33</f>
        <v>4500</v>
      </c>
      <c r="N33" s="67">
        <v>0.06</v>
      </c>
      <c r="O33" s="157">
        <v>7.8226718212273949E-2</v>
      </c>
      <c r="P33" s="151">
        <f>O33*(I33-M33)+(N33*M33)</f>
        <v>3438.1820875970948</v>
      </c>
      <c r="Q33" s="151"/>
    </row>
    <row r="34" spans="1:17" ht="15" x14ac:dyDescent="0.25">
      <c r="A34" s="165" t="s">
        <v>187</v>
      </c>
      <c r="B34" s="144"/>
      <c r="C34" s="232">
        <v>1</v>
      </c>
      <c r="D34" s="144"/>
      <c r="E34" s="168" t="s">
        <v>17</v>
      </c>
      <c r="F34" s="144"/>
      <c r="G34" s="166">
        <v>40000</v>
      </c>
      <c r="H34" s="144"/>
      <c r="I34" s="198">
        <f t="shared" si="0"/>
        <v>40000</v>
      </c>
      <c r="J34" s="149"/>
      <c r="K34" s="335">
        <v>8</v>
      </c>
      <c r="L34" s="321">
        <f t="shared" ref="L34:L53" si="1">0.1*G34</f>
        <v>4000</v>
      </c>
      <c r="M34" s="303">
        <f t="shared" ref="M34:M53" si="2">L34*C34</f>
        <v>4000</v>
      </c>
      <c r="N34" s="67">
        <v>0.06</v>
      </c>
      <c r="O34" s="157">
        <v>0.161</v>
      </c>
      <c r="P34" s="151">
        <f t="shared" ref="P34:P53" si="3">O34*(I34-M34)+(N34*M34)</f>
        <v>6036</v>
      </c>
      <c r="Q34" s="151"/>
    </row>
    <row r="35" spans="1:17" ht="15" x14ac:dyDescent="0.25">
      <c r="A35" s="165" t="s">
        <v>188</v>
      </c>
      <c r="B35" s="144"/>
      <c r="C35" s="232">
        <v>1</v>
      </c>
      <c r="D35" s="144"/>
      <c r="E35" s="168" t="s">
        <v>17</v>
      </c>
      <c r="F35" s="144"/>
      <c r="G35" s="166">
        <v>20000</v>
      </c>
      <c r="H35" s="144"/>
      <c r="I35" s="198">
        <f t="shared" si="0"/>
        <v>20000</v>
      </c>
      <c r="J35" s="149"/>
      <c r="K35" s="335">
        <v>8</v>
      </c>
      <c r="L35" s="321">
        <f t="shared" si="1"/>
        <v>2000</v>
      </c>
      <c r="M35" s="303">
        <f t="shared" si="2"/>
        <v>2000</v>
      </c>
      <c r="N35" s="67">
        <v>0.06</v>
      </c>
      <c r="O35" s="157">
        <v>0.161</v>
      </c>
      <c r="P35" s="151">
        <f t="shared" si="3"/>
        <v>3018</v>
      </c>
      <c r="Q35" s="151"/>
    </row>
    <row r="36" spans="1:17" ht="15" x14ac:dyDescent="0.25">
      <c r="A36" s="165" t="s">
        <v>24</v>
      </c>
      <c r="B36" s="144"/>
      <c r="C36" s="232">
        <v>1</v>
      </c>
      <c r="D36" s="144"/>
      <c r="E36" s="168" t="s">
        <v>17</v>
      </c>
      <c r="F36" s="144"/>
      <c r="G36" s="166">
        <v>6000</v>
      </c>
      <c r="H36" s="144"/>
      <c r="I36" s="198">
        <f t="shared" si="0"/>
        <v>6000</v>
      </c>
      <c r="J36" s="149"/>
      <c r="K36" s="335">
        <v>10</v>
      </c>
      <c r="L36" s="321">
        <f t="shared" si="1"/>
        <v>600</v>
      </c>
      <c r="M36" s="303">
        <f t="shared" si="2"/>
        <v>600</v>
      </c>
      <c r="N36" s="67">
        <v>0.06</v>
      </c>
      <c r="O36" s="157">
        <v>0.13589999999999999</v>
      </c>
      <c r="P36" s="151">
        <f>O36*(I36-M36)+(N36*M36)</f>
        <v>769.86</v>
      </c>
      <c r="Q36" s="151"/>
    </row>
    <row r="37" spans="1:17" ht="15" x14ac:dyDescent="0.25">
      <c r="A37" s="165" t="s">
        <v>25</v>
      </c>
      <c r="B37" s="144"/>
      <c r="C37" s="242">
        <v>2</v>
      </c>
      <c r="D37" s="144"/>
      <c r="E37" s="168" t="s">
        <v>17</v>
      </c>
      <c r="F37" s="144"/>
      <c r="G37" s="166">
        <v>60000</v>
      </c>
      <c r="H37" s="144"/>
      <c r="I37" s="198">
        <f t="shared" si="0"/>
        <v>120000</v>
      </c>
      <c r="J37" s="149"/>
      <c r="K37" s="335">
        <v>10</v>
      </c>
      <c r="L37" s="321">
        <f t="shared" si="1"/>
        <v>6000</v>
      </c>
      <c r="M37" s="303">
        <f t="shared" si="2"/>
        <v>12000</v>
      </c>
      <c r="N37" s="67">
        <v>0.06</v>
      </c>
      <c r="O37" s="157">
        <v>0.13589999999999999</v>
      </c>
      <c r="P37" s="151">
        <f t="shared" si="3"/>
        <v>15397.199999999999</v>
      </c>
      <c r="Q37" s="151"/>
    </row>
    <row r="38" spans="1:17" ht="15" x14ac:dyDescent="0.25">
      <c r="A38" s="155" t="s">
        <v>26</v>
      </c>
      <c r="B38" s="144"/>
      <c r="C38" s="232">
        <v>1</v>
      </c>
      <c r="D38" s="144"/>
      <c r="E38" s="168" t="s">
        <v>17</v>
      </c>
      <c r="F38" s="144"/>
      <c r="G38" s="166">
        <v>95000</v>
      </c>
      <c r="H38" s="144"/>
      <c r="I38" s="198">
        <f t="shared" si="0"/>
        <v>95000</v>
      </c>
      <c r="J38" s="149"/>
      <c r="K38" s="335">
        <v>20</v>
      </c>
      <c r="L38" s="321">
        <f t="shared" si="1"/>
        <v>9500</v>
      </c>
      <c r="M38" s="303">
        <f t="shared" si="2"/>
        <v>9500</v>
      </c>
      <c r="N38" s="67">
        <v>0.06</v>
      </c>
      <c r="O38" s="156">
        <v>8.7184556976851402E-2</v>
      </c>
      <c r="P38" s="151">
        <f t="shared" si="3"/>
        <v>8024.2796215207945</v>
      </c>
      <c r="Q38" s="151"/>
    </row>
    <row r="39" spans="1:17" s="75" customFormat="1" ht="15" x14ac:dyDescent="0.25">
      <c r="A39" s="155" t="s">
        <v>116</v>
      </c>
      <c r="B39" s="144"/>
      <c r="C39" s="232">
        <v>1</v>
      </c>
      <c r="D39" s="144"/>
      <c r="E39" s="168" t="s">
        <v>17</v>
      </c>
      <c r="F39" s="144"/>
      <c r="G39" s="166">
        <v>55000</v>
      </c>
      <c r="H39" s="144"/>
      <c r="I39" s="198">
        <f t="shared" si="0"/>
        <v>55000</v>
      </c>
      <c r="J39" s="149"/>
      <c r="K39" s="335">
        <v>20</v>
      </c>
      <c r="L39" s="321">
        <f t="shared" si="1"/>
        <v>5500</v>
      </c>
      <c r="M39" s="303">
        <f t="shared" si="2"/>
        <v>5500</v>
      </c>
      <c r="N39" s="67">
        <v>0.06</v>
      </c>
      <c r="O39" s="156">
        <v>8.7184556976851402E-2</v>
      </c>
      <c r="P39" s="151">
        <f t="shared" si="3"/>
        <v>4645.635570354144</v>
      </c>
      <c r="Q39" s="151"/>
    </row>
    <row r="40" spans="1:17" s="75" customFormat="1" ht="15" x14ac:dyDescent="0.25">
      <c r="A40" s="155" t="s">
        <v>117</v>
      </c>
      <c r="B40" s="144"/>
      <c r="C40" s="232">
        <v>1</v>
      </c>
      <c r="D40" s="144"/>
      <c r="E40" s="168" t="s">
        <v>17</v>
      </c>
      <c r="F40" s="144"/>
      <c r="G40" s="166">
        <v>41000</v>
      </c>
      <c r="H40" s="144"/>
      <c r="I40" s="198">
        <f t="shared" si="0"/>
        <v>41000</v>
      </c>
      <c r="J40" s="149"/>
      <c r="K40" s="335">
        <v>20</v>
      </c>
      <c r="L40" s="321">
        <f t="shared" si="1"/>
        <v>4100</v>
      </c>
      <c r="M40" s="303">
        <f t="shared" si="2"/>
        <v>4100</v>
      </c>
      <c r="N40" s="67">
        <v>0.06</v>
      </c>
      <c r="O40" s="156">
        <v>8.7184556976851402E-2</v>
      </c>
      <c r="P40" s="151">
        <f t="shared" si="3"/>
        <v>3463.1101524458168</v>
      </c>
      <c r="Q40" s="151"/>
    </row>
    <row r="41" spans="1:17" ht="15" x14ac:dyDescent="0.25">
      <c r="A41" s="155" t="s">
        <v>27</v>
      </c>
      <c r="B41" s="144"/>
      <c r="C41" s="242">
        <v>2</v>
      </c>
      <c r="D41" s="144"/>
      <c r="E41" s="168" t="s">
        <v>17</v>
      </c>
      <c r="F41" s="144"/>
      <c r="G41" s="166">
        <v>35000</v>
      </c>
      <c r="H41" s="144"/>
      <c r="I41" s="198">
        <f t="shared" si="0"/>
        <v>70000</v>
      </c>
      <c r="J41" s="149"/>
      <c r="K41" s="335">
        <v>10</v>
      </c>
      <c r="L41" s="321">
        <f t="shared" si="1"/>
        <v>3500</v>
      </c>
      <c r="M41" s="303">
        <f t="shared" si="2"/>
        <v>7000</v>
      </c>
      <c r="N41" s="67">
        <v>0.06</v>
      </c>
      <c r="O41" s="157">
        <v>0.13589999999999999</v>
      </c>
      <c r="P41" s="151">
        <f t="shared" si="3"/>
        <v>8981.6999999999989</v>
      </c>
      <c r="Q41" s="151"/>
    </row>
    <row r="42" spans="1:17" x14ac:dyDescent="0.3">
      <c r="A42" s="165" t="s">
        <v>28</v>
      </c>
      <c r="B42" s="144"/>
      <c r="C42" s="242">
        <v>2</v>
      </c>
      <c r="D42" s="144"/>
      <c r="E42" s="168" t="s">
        <v>17</v>
      </c>
      <c r="F42" s="144"/>
      <c r="G42" s="166">
        <v>74000</v>
      </c>
      <c r="H42" s="144"/>
      <c r="I42" s="198">
        <f t="shared" si="0"/>
        <v>148000</v>
      </c>
      <c r="J42" s="149"/>
      <c r="K42" s="335">
        <v>10</v>
      </c>
      <c r="L42" s="321">
        <f t="shared" si="1"/>
        <v>7400</v>
      </c>
      <c r="M42" s="303">
        <f t="shared" si="2"/>
        <v>14800</v>
      </c>
      <c r="N42" s="67">
        <v>0.06</v>
      </c>
      <c r="O42" s="157">
        <v>0.13589999999999999</v>
      </c>
      <c r="P42" s="151">
        <f t="shared" si="3"/>
        <v>18989.879999999997</v>
      </c>
      <c r="Q42" s="151"/>
    </row>
    <row r="43" spans="1:17" s="76" customFormat="1" x14ac:dyDescent="0.3">
      <c r="A43" s="165" t="s">
        <v>120</v>
      </c>
      <c r="B43" s="144"/>
      <c r="C43" s="242">
        <v>2</v>
      </c>
      <c r="D43" s="144"/>
      <c r="E43" s="168" t="s">
        <v>17</v>
      </c>
      <c r="F43" s="144"/>
      <c r="G43" s="166">
        <v>35000</v>
      </c>
      <c r="H43" s="144"/>
      <c r="I43" s="198">
        <f t="shared" si="0"/>
        <v>70000</v>
      </c>
      <c r="J43" s="149"/>
      <c r="K43" s="335">
        <v>3</v>
      </c>
      <c r="L43" s="321">
        <f t="shared" si="1"/>
        <v>3500</v>
      </c>
      <c r="M43" s="303">
        <f t="shared" si="2"/>
        <v>7000</v>
      </c>
      <c r="N43" s="67">
        <v>0.06</v>
      </c>
      <c r="O43" s="157">
        <v>0.374109812790551</v>
      </c>
      <c r="P43" s="151">
        <f t="shared" si="3"/>
        <v>23988.918205804712</v>
      </c>
      <c r="Q43" s="151"/>
    </row>
    <row r="44" spans="1:17" s="77" customFormat="1" x14ac:dyDescent="0.3">
      <c r="A44" s="165" t="s">
        <v>183</v>
      </c>
      <c r="B44" s="144"/>
      <c r="C44" s="232">
        <v>1</v>
      </c>
      <c r="D44" s="144"/>
      <c r="E44" s="168" t="s">
        <v>17</v>
      </c>
      <c r="F44" s="144"/>
      <c r="G44" s="166">
        <v>50000</v>
      </c>
      <c r="H44" s="144"/>
      <c r="I44" s="198">
        <f t="shared" si="0"/>
        <v>50000</v>
      </c>
      <c r="J44" s="149"/>
      <c r="K44" s="335">
        <v>3</v>
      </c>
      <c r="L44" s="321">
        <f t="shared" si="1"/>
        <v>5000</v>
      </c>
      <c r="M44" s="303">
        <f t="shared" si="2"/>
        <v>5000</v>
      </c>
      <c r="N44" s="67">
        <v>0.06</v>
      </c>
      <c r="O44" s="157">
        <v>0.374109812790551</v>
      </c>
      <c r="P44" s="151">
        <f t="shared" si="3"/>
        <v>17134.941575574794</v>
      </c>
      <c r="Q44" s="151"/>
    </row>
    <row r="45" spans="1:17" x14ac:dyDescent="0.3">
      <c r="A45" s="165" t="s">
        <v>189</v>
      </c>
      <c r="B45" s="144"/>
      <c r="C45" s="232">
        <v>1</v>
      </c>
      <c r="D45" s="144"/>
      <c r="E45" s="168" t="s">
        <v>17</v>
      </c>
      <c r="F45" s="144"/>
      <c r="G45" s="166">
        <v>125000</v>
      </c>
      <c r="H45" s="144"/>
      <c r="I45" s="198">
        <f t="shared" si="0"/>
        <v>125000</v>
      </c>
      <c r="J45" s="149"/>
      <c r="K45" s="335">
        <v>4</v>
      </c>
      <c r="L45" s="321">
        <f t="shared" si="1"/>
        <v>12500</v>
      </c>
      <c r="M45" s="303">
        <f t="shared" si="2"/>
        <v>12500</v>
      </c>
      <c r="N45" s="67">
        <v>0.06</v>
      </c>
      <c r="O45" s="157">
        <v>0.161</v>
      </c>
      <c r="P45" s="151">
        <f t="shared" si="3"/>
        <v>18862.5</v>
      </c>
      <c r="Q45" s="151"/>
    </row>
    <row r="46" spans="1:17" s="77" customFormat="1" x14ac:dyDescent="0.3">
      <c r="A46" s="165" t="s">
        <v>190</v>
      </c>
      <c r="B46" s="144"/>
      <c r="C46" s="232">
        <v>1</v>
      </c>
      <c r="D46" s="144"/>
      <c r="E46" s="168" t="s">
        <v>17</v>
      </c>
      <c r="F46" s="144"/>
      <c r="G46" s="166">
        <v>95000</v>
      </c>
      <c r="H46" s="144"/>
      <c r="I46" s="198">
        <v>95000</v>
      </c>
      <c r="J46" s="149"/>
      <c r="K46" s="335">
        <v>2</v>
      </c>
      <c r="L46" s="321">
        <f>0.1*G46</f>
        <v>9500</v>
      </c>
      <c r="M46" s="303">
        <f>L46*C46</f>
        <v>9500</v>
      </c>
      <c r="N46" s="67">
        <v>0.06</v>
      </c>
      <c r="O46" s="157">
        <v>0.161</v>
      </c>
      <c r="P46" s="151">
        <f t="shared" ref="P46:P52" si="4">O46*(I46-M46)+(N46*M46)</f>
        <v>14335.5</v>
      </c>
      <c r="Q46" s="151"/>
    </row>
    <row r="47" spans="1:17" s="76" customFormat="1" x14ac:dyDescent="0.3">
      <c r="A47" s="165" t="s">
        <v>191</v>
      </c>
      <c r="B47" s="144"/>
      <c r="C47" s="242">
        <v>2</v>
      </c>
      <c r="D47" s="144"/>
      <c r="E47" s="168" t="s">
        <v>17</v>
      </c>
      <c r="F47" s="144"/>
      <c r="G47" s="166">
        <v>16188</v>
      </c>
      <c r="H47" s="144"/>
      <c r="I47" s="198">
        <f t="shared" si="0"/>
        <v>32376</v>
      </c>
      <c r="J47" s="149"/>
      <c r="K47" s="335">
        <v>20</v>
      </c>
      <c r="L47" s="321">
        <f t="shared" si="1"/>
        <v>1618.8000000000002</v>
      </c>
      <c r="M47" s="303">
        <f t="shared" si="2"/>
        <v>3237.6000000000004</v>
      </c>
      <c r="N47" s="67">
        <v>0.06</v>
      </c>
      <c r="O47" s="156">
        <v>8.7184556976851402E-2</v>
      </c>
      <c r="P47" s="151">
        <f t="shared" si="4"/>
        <v>2734.674495014287</v>
      </c>
      <c r="Q47" s="151"/>
    </row>
    <row r="48" spans="1:17" s="76" customFormat="1" x14ac:dyDescent="0.3">
      <c r="A48" s="165" t="s">
        <v>118</v>
      </c>
      <c r="B48" s="144"/>
      <c r="C48" s="232">
        <v>1</v>
      </c>
      <c r="D48" s="144"/>
      <c r="E48" s="168" t="s">
        <v>17</v>
      </c>
      <c r="F48" s="144"/>
      <c r="G48" s="166">
        <v>64500</v>
      </c>
      <c r="H48" s="144"/>
      <c r="I48" s="198">
        <f>C48*G48</f>
        <v>64500</v>
      </c>
      <c r="J48" s="149"/>
      <c r="K48" s="335">
        <v>10</v>
      </c>
      <c r="L48" s="321">
        <f>0.1*G48</f>
        <v>6450</v>
      </c>
      <c r="M48" s="303">
        <f>L48*C48</f>
        <v>6450</v>
      </c>
      <c r="N48" s="67">
        <v>0.06</v>
      </c>
      <c r="O48" s="157">
        <v>0.13589999999999999</v>
      </c>
      <c r="P48" s="151">
        <f t="shared" si="4"/>
        <v>8275.994999999999</v>
      </c>
      <c r="Q48" s="151"/>
    </row>
    <row r="49" spans="1:17" s="76" customFormat="1" x14ac:dyDescent="0.3">
      <c r="A49" s="165" t="s">
        <v>119</v>
      </c>
      <c r="B49" s="144"/>
      <c r="C49" s="232">
        <v>1</v>
      </c>
      <c r="D49" s="144"/>
      <c r="E49" s="168" t="s">
        <v>17</v>
      </c>
      <c r="F49" s="144"/>
      <c r="G49" s="166">
        <v>45000</v>
      </c>
      <c r="H49" s="144"/>
      <c r="I49" s="198">
        <f>C49*G49</f>
        <v>45000</v>
      </c>
      <c r="J49" s="149"/>
      <c r="K49" s="335">
        <v>20</v>
      </c>
      <c r="L49" s="321">
        <f>0.1*G49</f>
        <v>4500</v>
      </c>
      <c r="M49" s="303">
        <f>L49*C49</f>
        <v>4500</v>
      </c>
      <c r="N49" s="67">
        <v>0.06</v>
      </c>
      <c r="O49" s="156">
        <v>8.7184556976851402E-2</v>
      </c>
      <c r="P49" s="151">
        <f t="shared" si="4"/>
        <v>3800.9745575624816</v>
      </c>
      <c r="Q49" s="151"/>
    </row>
    <row r="50" spans="1:17" s="77" customFormat="1" x14ac:dyDescent="0.3">
      <c r="A50" s="165" t="s">
        <v>185</v>
      </c>
      <c r="B50" s="144"/>
      <c r="C50" s="232">
        <v>1</v>
      </c>
      <c r="D50" s="144"/>
      <c r="E50" s="168" t="s">
        <v>17</v>
      </c>
      <c r="F50" s="144"/>
      <c r="G50" s="166">
        <v>3000</v>
      </c>
      <c r="H50" s="144"/>
      <c r="I50" s="198">
        <f>C50*G50</f>
        <v>3000</v>
      </c>
      <c r="J50" s="149"/>
      <c r="K50" s="335">
        <v>20</v>
      </c>
      <c r="L50" s="321">
        <f>0.1*G50</f>
        <v>300</v>
      </c>
      <c r="M50" s="303">
        <f>L50*C50</f>
        <v>300</v>
      </c>
      <c r="N50" s="67">
        <v>0.06</v>
      </c>
      <c r="O50" s="156">
        <v>8.7184556976851402E-2</v>
      </c>
      <c r="P50" s="151">
        <f t="shared" si="4"/>
        <v>253.39830383749879</v>
      </c>
      <c r="Q50" s="151"/>
    </row>
    <row r="51" spans="1:17" s="77" customFormat="1" x14ac:dyDescent="0.3">
      <c r="A51" s="165" t="s">
        <v>186</v>
      </c>
      <c r="B51" s="144"/>
      <c r="C51" s="232">
        <v>1</v>
      </c>
      <c r="D51" s="144"/>
      <c r="E51" s="168" t="s">
        <v>17</v>
      </c>
      <c r="F51" s="144"/>
      <c r="G51" s="166">
        <v>9127</v>
      </c>
      <c r="H51" s="144"/>
      <c r="I51" s="198">
        <f>C51*G51</f>
        <v>9127</v>
      </c>
      <c r="J51" s="149"/>
      <c r="K51" s="335">
        <v>10</v>
      </c>
      <c r="L51" s="321">
        <f>0.1*G51</f>
        <v>912.7</v>
      </c>
      <c r="M51" s="303">
        <f>L51*C51</f>
        <v>912.7</v>
      </c>
      <c r="N51" s="67">
        <v>0.06</v>
      </c>
      <c r="O51" s="157">
        <v>0.13589999999999999</v>
      </c>
      <c r="P51" s="151">
        <f t="shared" si="4"/>
        <v>1171.0853699999998</v>
      </c>
      <c r="Q51" s="151"/>
    </row>
    <row r="52" spans="1:17" s="77" customFormat="1" x14ac:dyDescent="0.3">
      <c r="A52" s="165" t="s">
        <v>184</v>
      </c>
      <c r="B52" s="144"/>
      <c r="C52" s="232">
        <v>1</v>
      </c>
      <c r="D52" s="144"/>
      <c r="E52" s="168" t="s">
        <v>17</v>
      </c>
      <c r="F52" s="144"/>
      <c r="G52" s="166">
        <v>24500</v>
      </c>
      <c r="H52" s="144"/>
      <c r="I52" s="198">
        <f>C52*G52</f>
        <v>24500</v>
      </c>
      <c r="J52" s="149"/>
      <c r="K52" s="335">
        <v>8</v>
      </c>
      <c r="L52" s="321">
        <f>0.1*G52</f>
        <v>2450</v>
      </c>
      <c r="M52" s="303">
        <f>L52*C52</f>
        <v>2450</v>
      </c>
      <c r="N52" s="67">
        <v>0.06</v>
      </c>
      <c r="O52" s="157">
        <v>0.161</v>
      </c>
      <c r="P52" s="151">
        <f t="shared" si="4"/>
        <v>3697.05</v>
      </c>
      <c r="Q52" s="151"/>
    </row>
    <row r="53" spans="1:17" x14ac:dyDescent="0.3">
      <c r="A53" s="165" t="s">
        <v>29</v>
      </c>
      <c r="B53" s="144"/>
      <c r="C53" s="232">
        <v>1</v>
      </c>
      <c r="D53" s="144"/>
      <c r="E53" s="168" t="s">
        <v>17</v>
      </c>
      <c r="F53" s="144"/>
      <c r="G53" s="166">
        <v>50000</v>
      </c>
      <c r="H53" s="144"/>
      <c r="I53" s="198">
        <f t="shared" si="0"/>
        <v>50000</v>
      </c>
      <c r="J53" s="149"/>
      <c r="K53" s="335">
        <v>10</v>
      </c>
      <c r="L53" s="321">
        <f t="shared" si="1"/>
        <v>5000</v>
      </c>
      <c r="M53" s="303">
        <f t="shared" si="2"/>
        <v>5000</v>
      </c>
      <c r="N53" s="67">
        <v>0.06</v>
      </c>
      <c r="O53" s="157">
        <v>0.13589999999999999</v>
      </c>
      <c r="P53" s="151">
        <f t="shared" si="3"/>
        <v>6415.5</v>
      </c>
      <c r="Q53" s="151"/>
    </row>
    <row r="54" spans="1:17" s="77" customFormat="1" ht="10.5" customHeight="1" x14ac:dyDescent="0.3">
      <c r="A54" s="144"/>
      <c r="B54" s="144"/>
      <c r="C54" s="234"/>
      <c r="D54" s="144"/>
      <c r="E54" s="145"/>
      <c r="F54" s="144"/>
      <c r="G54" s="144"/>
      <c r="H54" s="144"/>
      <c r="I54" s="198"/>
      <c r="J54" s="149"/>
      <c r="K54" s="336"/>
      <c r="L54" s="324"/>
      <c r="M54" s="304"/>
      <c r="N54" s="67"/>
      <c r="O54" s="157"/>
      <c r="P54" s="151"/>
      <c r="Q54" s="151"/>
    </row>
    <row r="55" spans="1:17" s="77" customFormat="1" x14ac:dyDescent="0.3">
      <c r="A55" s="313" t="s">
        <v>216</v>
      </c>
      <c r="B55" s="146"/>
      <c r="C55" s="237"/>
      <c r="D55" s="146"/>
      <c r="E55" s="158"/>
      <c r="F55" s="146"/>
      <c r="G55" s="169"/>
      <c r="H55" s="144"/>
      <c r="I55" s="207">
        <f>SUM(G56:G59)</f>
        <v>32712.561999999998</v>
      </c>
      <c r="J55" s="149"/>
      <c r="K55" s="336"/>
      <c r="L55" s="324"/>
      <c r="M55" s="304"/>
      <c r="N55" s="67"/>
      <c r="O55" s="157"/>
      <c r="P55" s="151"/>
      <c r="Q55" s="151"/>
    </row>
    <row r="56" spans="1:17" s="77" customFormat="1" x14ac:dyDescent="0.3">
      <c r="A56" s="165" t="s">
        <v>214</v>
      </c>
      <c r="B56" s="144"/>
      <c r="C56" s="232">
        <v>1</v>
      </c>
      <c r="D56" s="144"/>
      <c r="E56" s="168" t="s">
        <v>17</v>
      </c>
      <c r="F56" s="144"/>
      <c r="G56" s="166">
        <f>(I28+I24+I21+I15)/1000*5</f>
        <v>26843.55</v>
      </c>
      <c r="H56" s="144"/>
      <c r="I56" s="198">
        <f>C56*G56</f>
        <v>26843.55</v>
      </c>
      <c r="J56" s="149"/>
      <c r="K56" s="335"/>
      <c r="L56" s="321"/>
      <c r="M56" s="303"/>
      <c r="N56" s="67"/>
      <c r="O56" s="157"/>
      <c r="P56" s="151"/>
      <c r="Q56" s="151"/>
    </row>
    <row r="57" spans="1:17" s="77" customFormat="1" x14ac:dyDescent="0.3">
      <c r="A57" s="165" t="s">
        <v>215</v>
      </c>
      <c r="B57" s="144"/>
      <c r="C57" s="232">
        <v>1</v>
      </c>
      <c r="D57" s="144"/>
      <c r="E57" s="168" t="s">
        <v>17</v>
      </c>
      <c r="F57" s="144"/>
      <c r="G57" s="312">
        <f>I32/1000*4</f>
        <v>4834.0119999999997</v>
      </c>
      <c r="H57" s="144"/>
      <c r="I57" s="198">
        <f>C57*G57</f>
        <v>4834.0119999999997</v>
      </c>
      <c r="J57" s="149"/>
      <c r="K57" s="335"/>
      <c r="L57" s="321"/>
      <c r="M57" s="303"/>
      <c r="N57" s="67"/>
      <c r="O57" s="157"/>
      <c r="P57" s="151"/>
      <c r="Q57" s="151"/>
    </row>
    <row r="58" spans="1:17" s="77" customFormat="1" x14ac:dyDescent="0.3">
      <c r="A58" s="165" t="s">
        <v>219</v>
      </c>
      <c r="B58" s="144"/>
      <c r="C58" s="232">
        <v>1</v>
      </c>
      <c r="D58" s="144"/>
      <c r="E58" s="168" t="s">
        <v>17</v>
      </c>
      <c r="F58" s="144"/>
      <c r="G58" s="166">
        <v>1035</v>
      </c>
      <c r="H58" s="144"/>
      <c r="I58" s="198">
        <f>C58*G58</f>
        <v>1035</v>
      </c>
      <c r="J58" s="149"/>
      <c r="K58" s="335"/>
      <c r="L58" s="321"/>
      <c r="M58" s="303"/>
      <c r="N58" s="67"/>
      <c r="O58" s="157"/>
      <c r="P58" s="151"/>
      <c r="Q58" s="151"/>
    </row>
    <row r="59" spans="1:17" s="77" customFormat="1" ht="10.5" customHeight="1" x14ac:dyDescent="0.3">
      <c r="A59" s="144"/>
      <c r="B59" s="144"/>
      <c r="C59" s="234"/>
      <c r="D59" s="144"/>
      <c r="E59" s="145"/>
      <c r="F59" s="144"/>
      <c r="G59" s="144"/>
      <c r="H59" s="144"/>
      <c r="I59" s="198"/>
      <c r="J59" s="149"/>
      <c r="K59" s="336"/>
      <c r="L59" s="324"/>
      <c r="M59" s="304"/>
      <c r="N59" s="67"/>
      <c r="O59" s="157"/>
      <c r="P59" s="151"/>
      <c r="Q59" s="151"/>
    </row>
    <row r="60" spans="1:17" x14ac:dyDescent="0.3">
      <c r="A60" s="144" t="s">
        <v>30</v>
      </c>
      <c r="B60" s="144"/>
      <c r="C60" s="234"/>
      <c r="D60" s="144"/>
      <c r="E60" s="145"/>
      <c r="F60" s="144"/>
      <c r="G60" s="144"/>
      <c r="H60" s="144"/>
      <c r="I60" s="198">
        <f>SUM(I8:I59)-(I8+I11+I15+I21+I24+I28+I32+I55)</f>
        <v>11459925.561999997</v>
      </c>
      <c r="J60" s="149"/>
      <c r="K60" s="337"/>
      <c r="L60" s="325">
        <f>SUM(L9:L59)</f>
        <v>217456.5</v>
      </c>
      <c r="M60" s="305">
        <f>(I60-L60)/2</f>
        <v>5621234.5309999986</v>
      </c>
      <c r="N60" s="68"/>
      <c r="O60" s="271"/>
      <c r="P60" s="197"/>
      <c r="Q60" s="197"/>
    </row>
    <row r="61" spans="1:17" x14ac:dyDescent="0.3">
      <c r="A61" s="144" t="s">
        <v>226</v>
      </c>
      <c r="B61" s="144"/>
      <c r="C61" s="234"/>
      <c r="D61" s="144"/>
      <c r="E61" s="145"/>
      <c r="F61" s="144"/>
      <c r="G61" s="144"/>
      <c r="H61" s="144"/>
      <c r="I61" s="198">
        <f>I60/C9</f>
        <v>4583.9702247999985</v>
      </c>
      <c r="J61" s="149"/>
      <c r="K61" s="337"/>
      <c r="L61" s="325"/>
      <c r="M61" s="376">
        <f>M60/C9</f>
        <v>2248.4938123999996</v>
      </c>
      <c r="N61" s="68"/>
      <c r="O61" s="271"/>
      <c r="P61" s="197"/>
      <c r="Q61" s="197"/>
    </row>
    <row r="62" spans="1:17" ht="10.5" customHeight="1" x14ac:dyDescent="0.3">
      <c r="A62" s="144"/>
      <c r="B62" s="144"/>
      <c r="C62" s="234"/>
      <c r="D62" s="144"/>
      <c r="E62" s="145"/>
      <c r="F62" s="144"/>
      <c r="G62" s="144"/>
      <c r="H62" s="144"/>
      <c r="I62" s="198"/>
      <c r="J62" s="149"/>
      <c r="K62" s="336"/>
      <c r="L62" s="324"/>
      <c r="M62" s="304"/>
      <c r="N62" s="67"/>
      <c r="O62" s="157"/>
      <c r="P62" s="151"/>
      <c r="Q62" s="151"/>
    </row>
    <row r="63" spans="1:17" s="77" customFormat="1" x14ac:dyDescent="0.3">
      <c r="A63" s="144" t="s">
        <v>221</v>
      </c>
      <c r="B63" s="144"/>
      <c r="C63" s="234"/>
      <c r="D63" s="144"/>
      <c r="E63" s="145"/>
      <c r="F63" s="144"/>
      <c r="G63" s="144"/>
      <c r="H63" s="144"/>
      <c r="I63" s="198">
        <f>M60</f>
        <v>5621234.5309999986</v>
      </c>
      <c r="J63" s="149"/>
      <c r="K63" s="336"/>
      <c r="L63" s="324"/>
      <c r="M63" s="304"/>
      <c r="N63" s="67"/>
      <c r="O63" s="157"/>
      <c r="P63" s="151"/>
      <c r="Q63" s="151"/>
    </row>
    <row r="64" spans="1:17" s="77" customFormat="1" x14ac:dyDescent="0.3">
      <c r="A64" s="144" t="s">
        <v>230</v>
      </c>
      <c r="B64" s="144"/>
      <c r="C64" s="234"/>
      <c r="D64" s="144"/>
      <c r="E64" s="145"/>
      <c r="F64" s="144"/>
      <c r="G64" s="144"/>
      <c r="H64" s="144"/>
      <c r="I64" s="198">
        <f>M61</f>
        <v>2248.4938123999996</v>
      </c>
      <c r="J64" s="149"/>
      <c r="K64" s="336"/>
      <c r="L64" s="324"/>
      <c r="M64" s="304"/>
      <c r="N64" s="67"/>
      <c r="O64" s="157"/>
      <c r="P64" s="151"/>
      <c r="Q64" s="151"/>
    </row>
    <row r="65" spans="1:17" s="77" customFormat="1" ht="10.5" customHeight="1" x14ac:dyDescent="0.3">
      <c r="A65" s="144"/>
      <c r="B65" s="144"/>
      <c r="C65" s="234"/>
      <c r="D65" s="144"/>
      <c r="E65" s="145"/>
      <c r="F65" s="144"/>
      <c r="G65" s="144"/>
      <c r="H65" s="144"/>
      <c r="I65" s="198"/>
      <c r="J65" s="149"/>
      <c r="K65" s="336"/>
      <c r="L65" s="324"/>
      <c r="M65" s="304"/>
      <c r="N65" s="67"/>
      <c r="O65" s="157"/>
      <c r="P65" s="151"/>
      <c r="Q65" s="151"/>
    </row>
    <row r="66" spans="1:17" x14ac:dyDescent="0.3">
      <c r="A66" s="144" t="s">
        <v>111</v>
      </c>
      <c r="B66" s="144"/>
      <c r="C66" s="238"/>
      <c r="D66" s="144"/>
      <c r="E66" s="145"/>
      <c r="F66" s="144"/>
      <c r="G66" s="144"/>
      <c r="H66" s="144"/>
      <c r="I66" s="198">
        <f>P66</f>
        <v>1322721.3204002953</v>
      </c>
      <c r="J66" s="149"/>
      <c r="K66" s="336"/>
      <c r="L66" s="324"/>
      <c r="M66" s="304"/>
      <c r="N66" s="67"/>
      <c r="O66" s="157"/>
      <c r="P66" s="151">
        <f>SUM($P$9:$P$61)-$P$32</f>
        <v>1322721.3204002953</v>
      </c>
      <c r="Q66" s="151"/>
    </row>
    <row r="67" spans="1:17" x14ac:dyDescent="0.3">
      <c r="A67" s="144" t="s">
        <v>227</v>
      </c>
      <c r="B67" s="144"/>
      <c r="C67" s="238"/>
      <c r="D67" s="144"/>
      <c r="E67" s="145"/>
      <c r="F67" s="144"/>
      <c r="G67" s="144"/>
      <c r="H67" s="144"/>
      <c r="I67" s="198">
        <f>P67</f>
        <v>529.08852816011813</v>
      </c>
      <c r="J67" s="149"/>
      <c r="K67" s="337"/>
      <c r="L67" s="325"/>
      <c r="M67" s="305"/>
      <c r="N67" s="68"/>
      <c r="O67" s="271"/>
      <c r="P67" s="231">
        <f>$P$66/FreeStall_No.</f>
        <v>529.08852816011813</v>
      </c>
      <c r="Q67" s="151"/>
    </row>
    <row r="68" spans="1:17" x14ac:dyDescent="0.3">
      <c r="A68" s="159"/>
      <c r="B68" s="159"/>
      <c r="C68" s="239"/>
      <c r="D68" s="159"/>
      <c r="E68" s="160"/>
      <c r="F68" s="159"/>
      <c r="G68" s="159"/>
      <c r="H68" s="159"/>
      <c r="I68" s="161"/>
      <c r="J68" s="162"/>
      <c r="K68" s="338"/>
      <c r="L68" s="326"/>
      <c r="M68" s="306"/>
      <c r="N68" s="69"/>
      <c r="O68" s="272"/>
      <c r="P68" s="202"/>
      <c r="Q68" s="202"/>
    </row>
    <row r="69" spans="1:17" x14ac:dyDescent="0.3">
      <c r="A69" s="106"/>
      <c r="B69" s="106"/>
      <c r="C69" s="240"/>
      <c r="D69" s="106"/>
      <c r="E69" s="107"/>
      <c r="F69" s="106"/>
      <c r="G69" s="106"/>
      <c r="H69" s="106"/>
      <c r="I69" s="106"/>
      <c r="J69" s="106"/>
      <c r="K69" s="339"/>
      <c r="L69" s="327"/>
      <c r="M69" s="307"/>
      <c r="N69" s="124"/>
      <c r="O69" s="273"/>
      <c r="P69" s="203"/>
      <c r="Q69" s="203"/>
    </row>
    <row r="70" spans="1:17" x14ac:dyDescent="0.3">
      <c r="A70" s="106"/>
      <c r="B70" s="106"/>
      <c r="C70" s="240"/>
      <c r="D70" s="106"/>
      <c r="E70" s="107"/>
      <c r="F70" s="106"/>
      <c r="G70" s="106"/>
      <c r="H70" s="106"/>
      <c r="I70" s="106"/>
      <c r="J70" s="106"/>
      <c r="K70" s="339"/>
      <c r="L70" s="327"/>
      <c r="M70" s="307"/>
      <c r="N70" s="124"/>
      <c r="O70" s="273"/>
      <c r="P70" s="203"/>
      <c r="Q70" s="203"/>
    </row>
    <row r="71" spans="1:17" x14ac:dyDescent="0.3">
      <c r="A71" s="106"/>
      <c r="B71" s="106"/>
      <c r="C71" s="240"/>
      <c r="D71" s="106"/>
      <c r="E71" s="107"/>
      <c r="F71" s="106"/>
      <c r="G71" s="106"/>
      <c r="H71" s="106"/>
      <c r="I71" s="106"/>
      <c r="J71" s="106"/>
      <c r="K71" s="339"/>
      <c r="L71" s="327"/>
      <c r="M71" s="307"/>
      <c r="N71" s="124"/>
      <c r="O71" s="273"/>
      <c r="P71" s="203"/>
      <c r="Q71" s="203"/>
    </row>
    <row r="72" spans="1:17" x14ac:dyDescent="0.3">
      <c r="A72" s="62"/>
      <c r="B72" s="62"/>
      <c r="C72" s="240"/>
      <c r="D72" s="62"/>
      <c r="E72" s="100"/>
      <c r="F72" s="62"/>
      <c r="G72" s="62"/>
      <c r="H72" s="62"/>
      <c r="I72" s="62"/>
      <c r="J72" s="62"/>
      <c r="K72" s="340"/>
      <c r="L72" s="328"/>
      <c r="M72" s="308"/>
      <c r="N72" s="124"/>
      <c r="O72" s="252"/>
      <c r="P72" s="204"/>
      <c r="Q72" s="204"/>
    </row>
    <row r="73" spans="1:17" x14ac:dyDescent="0.3">
      <c r="A73" s="62"/>
      <c r="B73" s="62"/>
      <c r="C73" s="240"/>
      <c r="D73" s="62"/>
      <c r="E73" s="100"/>
      <c r="F73" s="62"/>
      <c r="G73" s="62"/>
      <c r="H73" s="62"/>
      <c r="I73" s="62"/>
      <c r="J73" s="62"/>
      <c r="K73" s="340"/>
      <c r="L73" s="328"/>
      <c r="M73" s="308"/>
      <c r="N73" s="124"/>
      <c r="O73" s="252"/>
      <c r="P73" s="204"/>
      <c r="Q73" s="204"/>
    </row>
    <row r="74" spans="1:17" x14ac:dyDescent="0.3">
      <c r="A74" s="62"/>
      <c r="B74" s="62"/>
      <c r="C74" s="240"/>
      <c r="D74" s="62"/>
      <c r="E74" s="100"/>
      <c r="F74" s="62"/>
      <c r="G74" s="62"/>
      <c r="H74" s="62"/>
      <c r="I74" s="62"/>
      <c r="J74" s="62"/>
      <c r="K74" s="340"/>
      <c r="L74" s="328"/>
      <c r="M74" s="308"/>
      <c r="N74" s="124"/>
      <c r="O74" s="252"/>
      <c r="P74" s="204"/>
      <c r="Q74" s="204"/>
    </row>
    <row r="75" spans="1:17" x14ac:dyDescent="0.3">
      <c r="A75" s="62"/>
      <c r="B75" s="62"/>
      <c r="C75" s="240"/>
      <c r="D75" s="62"/>
      <c r="E75" s="100"/>
      <c r="F75" s="62"/>
      <c r="G75" s="62"/>
      <c r="H75" s="62"/>
      <c r="I75" s="62"/>
      <c r="J75" s="62"/>
      <c r="K75" s="340"/>
      <c r="L75" s="328"/>
      <c r="M75" s="308"/>
      <c r="N75" s="124"/>
      <c r="O75" s="252"/>
      <c r="P75" s="204"/>
      <c r="Q75" s="204"/>
    </row>
    <row r="76" spans="1:17" x14ac:dyDescent="0.3">
      <c r="A76" s="62"/>
      <c r="B76" s="62"/>
      <c r="C76" s="240"/>
      <c r="D76" s="62"/>
      <c r="E76" s="100"/>
      <c r="F76" s="62"/>
      <c r="G76" s="62"/>
      <c r="H76" s="62"/>
      <c r="I76" s="62"/>
      <c r="J76" s="62"/>
      <c r="K76" s="340"/>
      <c r="L76" s="328"/>
      <c r="M76" s="308"/>
      <c r="N76" s="124"/>
      <c r="O76" s="252"/>
      <c r="P76" s="204"/>
      <c r="Q76" s="204"/>
    </row>
    <row r="77" spans="1:17" x14ac:dyDescent="0.3">
      <c r="A77" s="62"/>
      <c r="B77" s="62"/>
      <c r="C77" s="240"/>
      <c r="D77" s="62"/>
      <c r="E77" s="100"/>
      <c r="F77" s="62"/>
      <c r="G77" s="62"/>
      <c r="H77" s="62"/>
      <c r="I77" s="62"/>
      <c r="J77" s="62"/>
      <c r="K77" s="340"/>
      <c r="L77" s="328"/>
      <c r="M77" s="308"/>
      <c r="N77" s="124"/>
      <c r="O77" s="252"/>
      <c r="P77" s="204"/>
      <c r="Q77" s="204"/>
    </row>
  </sheetData>
  <mergeCells count="2">
    <mergeCell ref="A1:J1"/>
    <mergeCell ref="N5:P5"/>
  </mergeCells>
  <printOptions horizontalCentered="1"/>
  <pageMargins left="0.25" right="0.25" top="0.75" bottom="0.75" header="0.3" footer="0.3"/>
  <pageSetup scale="73" orientation="portrait" r:id="rId1"/>
  <headerFooter>
    <oddFooter>&amp;L&amp;F&amp;C&amp;A&amp;R&amp;D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B6" sqref="B6"/>
    </sheetView>
  </sheetViews>
  <sheetFormatPr defaultRowHeight="14.4" x14ac:dyDescent="0.3"/>
  <sheetData>
    <row r="1" spans="1:14" ht="15.75" x14ac:dyDescent="0.25">
      <c r="A1" s="402" t="s">
        <v>114</v>
      </c>
      <c r="B1" s="402"/>
      <c r="C1" s="402"/>
      <c r="D1" s="402"/>
      <c r="E1" s="402"/>
      <c r="F1" s="402"/>
      <c r="G1" s="402"/>
      <c r="H1" s="402"/>
      <c r="I1" s="402"/>
      <c r="J1" s="402"/>
      <c r="K1" s="402"/>
      <c r="L1" s="402"/>
      <c r="M1" s="402"/>
      <c r="N1" s="402"/>
    </row>
    <row r="2" spans="1:14" ht="15.75" x14ac:dyDescent="0.25">
      <c r="A2" s="403" t="s">
        <v>100</v>
      </c>
      <c r="B2" s="404"/>
      <c r="C2" s="404"/>
      <c r="D2" s="404"/>
      <c r="E2" s="404"/>
      <c r="F2" s="404"/>
      <c r="G2" s="404"/>
      <c r="H2" s="404"/>
      <c r="I2" s="404"/>
      <c r="J2" s="404"/>
      <c r="K2" s="404"/>
      <c r="L2" s="404"/>
      <c r="M2" s="404"/>
      <c r="N2" s="405"/>
    </row>
    <row r="3" spans="1:14" ht="15.75" x14ac:dyDescent="0.25">
      <c r="A3" s="72" t="s">
        <v>115</v>
      </c>
      <c r="B3" s="73">
        <v>0.06</v>
      </c>
      <c r="C3" s="73">
        <v>6.5000000000000002E-2</v>
      </c>
      <c r="D3" s="73">
        <v>7.0000000000000007E-2</v>
      </c>
      <c r="E3" s="73">
        <v>7.4999999999999997E-2</v>
      </c>
      <c r="F3" s="73">
        <v>0.08</v>
      </c>
      <c r="G3" s="73">
        <v>8.5000000000000006E-2</v>
      </c>
      <c r="H3" s="73">
        <v>0.09</v>
      </c>
      <c r="I3" s="73">
        <v>9.5000000000000001E-2</v>
      </c>
      <c r="J3" s="73">
        <v>0.1</v>
      </c>
      <c r="K3" s="73">
        <v>0.105</v>
      </c>
      <c r="L3" s="73">
        <v>0.11</v>
      </c>
      <c r="M3" s="73">
        <v>0.115</v>
      </c>
      <c r="N3" s="73">
        <v>0.12</v>
      </c>
    </row>
    <row r="4" spans="1:14" ht="15.75" x14ac:dyDescent="0.25">
      <c r="A4" s="70">
        <v>1</v>
      </c>
      <c r="B4" s="71">
        <v>1.0599999999999981</v>
      </c>
      <c r="C4" s="71">
        <v>1.0650000000000002</v>
      </c>
      <c r="D4" s="71">
        <v>1.07</v>
      </c>
      <c r="E4" s="71">
        <v>1.0749999999999997</v>
      </c>
      <c r="F4" s="71">
        <v>1.0799999999999985</v>
      </c>
      <c r="G4" s="71">
        <v>1.0850000000000002</v>
      </c>
      <c r="H4" s="71">
        <v>1.0899999999999992</v>
      </c>
      <c r="I4" s="71">
        <v>1.0950000000000009</v>
      </c>
      <c r="J4" s="71">
        <v>1.0999999999999996</v>
      </c>
      <c r="K4" s="71">
        <v>1.105</v>
      </c>
      <c r="L4" s="71">
        <v>1.109999999999999</v>
      </c>
      <c r="M4" s="71">
        <v>1.1150000000000004</v>
      </c>
      <c r="N4" s="71">
        <v>1.1199999999999992</v>
      </c>
    </row>
    <row r="5" spans="1:14" ht="15.75" x14ac:dyDescent="0.25">
      <c r="A5" s="70">
        <v>2</v>
      </c>
      <c r="B5" s="71">
        <v>0.54543689320388289</v>
      </c>
      <c r="C5" s="71">
        <v>0.54926150121065431</v>
      </c>
      <c r="D5" s="71">
        <v>0.55309178743961329</v>
      </c>
      <c r="E5" s="71">
        <v>0.55692771084337367</v>
      </c>
      <c r="F5" s="71">
        <v>0.56076923076923058</v>
      </c>
      <c r="G5" s="71">
        <v>0.56461630695443676</v>
      </c>
      <c r="H5" s="71">
        <v>0.56846889952153068</v>
      </c>
      <c r="I5" s="71">
        <v>0.57232696897374713</v>
      </c>
      <c r="J5" s="71">
        <v>0.57619047619047592</v>
      </c>
      <c r="K5" s="71">
        <v>0.58005938242280286</v>
      </c>
      <c r="L5" s="71">
        <v>0.58393364928909897</v>
      </c>
      <c r="M5" s="71">
        <v>0.5878132387706857</v>
      </c>
      <c r="N5" s="71">
        <v>0.59169811320754695</v>
      </c>
    </row>
    <row r="6" spans="1:14" ht="15.75" x14ac:dyDescent="0.25">
      <c r="A6" s="70">
        <v>3</v>
      </c>
      <c r="B6" s="71">
        <v>0.374109812790551</v>
      </c>
      <c r="C6" s="71">
        <v>0.37757570192781098</v>
      </c>
      <c r="D6" s="71">
        <v>0.38105166568166948</v>
      </c>
      <c r="E6" s="71">
        <v>0.38453762816792436</v>
      </c>
      <c r="F6" s="71">
        <v>0.38803351404632802</v>
      </c>
      <c r="G6" s="71">
        <v>0.39153924851903221</v>
      </c>
      <c r="H6" s="71">
        <v>0.39505475732894041</v>
      </c>
      <c r="I6" s="71">
        <v>0.39857996675799373</v>
      </c>
      <c r="J6" s="71">
        <v>0.40211480362537733</v>
      </c>
      <c r="K6" s="71">
        <v>0.4056591952856638</v>
      </c>
      <c r="L6" s="71">
        <v>0.40921306962688109</v>
      </c>
      <c r="M6" s="71">
        <v>0.41277635506852584</v>
      </c>
      <c r="N6" s="71">
        <v>0.41634898055950659</v>
      </c>
    </row>
    <row r="7" spans="1:14" ht="15.75" x14ac:dyDescent="0.25">
      <c r="A7" s="70">
        <v>4</v>
      </c>
      <c r="B7" s="71">
        <v>0.2885914923732732</v>
      </c>
      <c r="C7" s="71">
        <v>0.29190274043770204</v>
      </c>
      <c r="D7" s="71">
        <v>0.29522811666726351</v>
      </c>
      <c r="E7" s="71">
        <v>0.29856750865450793</v>
      </c>
      <c r="F7" s="71">
        <v>0.30192080445403918</v>
      </c>
      <c r="G7" s="71">
        <v>0.30528789259467298</v>
      </c>
      <c r="H7" s="71">
        <v>0.30866866209109761</v>
      </c>
      <c r="I7" s="71">
        <v>0.31206300245506396</v>
      </c>
      <c r="J7" s="71">
        <v>0.31547080370609765</v>
      </c>
      <c r="K7" s="71">
        <v>0.31889195638176188</v>
      </c>
      <c r="L7" s="71">
        <v>0.32232635154746614</v>
      </c>
      <c r="M7" s="71">
        <v>0.32577388080584224</v>
      </c>
      <c r="N7" s="71">
        <v>0.32923443630568971</v>
      </c>
    </row>
    <row r="8" spans="1:14" ht="15.75" x14ac:dyDescent="0.25">
      <c r="A8" s="70">
        <v>5</v>
      </c>
      <c r="B8" s="71">
        <v>0.23739640043118937</v>
      </c>
      <c r="C8" s="71">
        <v>0.24063453759748696</v>
      </c>
      <c r="D8" s="71">
        <v>0.24389069444137404</v>
      </c>
      <c r="E8" s="71">
        <v>0.24716471778672036</v>
      </c>
      <c r="F8" s="71">
        <v>0.25045645456683652</v>
      </c>
      <c r="G8" s="71">
        <v>0.25376575186549916</v>
      </c>
      <c r="H8" s="71">
        <v>0.25709245695674476</v>
      </c>
      <c r="I8" s="71">
        <v>0.26043641734345607</v>
      </c>
      <c r="J8" s="71">
        <v>0.26379748079474524</v>
      </c>
      <c r="K8" s="71">
        <v>0.26717549538216268</v>
      </c>
      <c r="L8" s="71">
        <v>0.27057030951473438</v>
      </c>
      <c r="M8" s="71">
        <v>0.27398177197285556</v>
      </c>
      <c r="N8" s="71">
        <v>0.27740973194104873</v>
      </c>
    </row>
    <row r="9" spans="1:14" ht="15.75" x14ac:dyDescent="0.25">
      <c r="A9" s="70">
        <v>6</v>
      </c>
      <c r="B9" s="71">
        <v>0.20336262847489525</v>
      </c>
      <c r="C9" s="71">
        <v>0.20656831224254543</v>
      </c>
      <c r="D9" s="71">
        <v>0.20979579975832816</v>
      </c>
      <c r="E9" s="71">
        <v>0.21304489120911982</v>
      </c>
      <c r="F9" s="71">
        <v>0.21631538622900967</v>
      </c>
      <c r="G9" s="71">
        <v>0.21960708399028273</v>
      </c>
      <c r="H9" s="71">
        <v>0.22291978329203693</v>
      </c>
      <c r="I9" s="71">
        <v>0.22625328264644731</v>
      </c>
      <c r="J9" s="71">
        <v>0.22960738036266728</v>
      </c>
      <c r="K9" s="71">
        <v>0.23298187462838579</v>
      </c>
      <c r="L9" s="71">
        <v>0.23637656358903944</v>
      </c>
      <c r="M9" s="71">
        <v>0.23979124542469749</v>
      </c>
      <c r="N9" s="71">
        <v>0.24322571842462917</v>
      </c>
    </row>
    <row r="10" spans="1:14" ht="15.75" x14ac:dyDescent="0.25">
      <c r="A10" s="70">
        <v>7</v>
      </c>
      <c r="B10" s="71">
        <v>0.17913501805901066</v>
      </c>
      <c r="C10" s="71">
        <v>0.18233136931088845</v>
      </c>
      <c r="D10" s="71">
        <v>0.18555321963115931</v>
      </c>
      <c r="E10" s="71">
        <v>0.18880031539601275</v>
      </c>
      <c r="F10" s="71">
        <v>0.19207240142841048</v>
      </c>
      <c r="G10" s="71">
        <v>0.19536922116742575</v>
      </c>
      <c r="H10" s="71">
        <v>0.19869051683359293</v>
      </c>
      <c r="I10" s="71">
        <v>0.20203602959021816</v>
      </c>
      <c r="J10" s="71">
        <v>0.20540549970059557</v>
      </c>
      <c r="K10" s="71">
        <v>0.20879866668109689</v>
      </c>
      <c r="L10" s="71">
        <v>0.21221526945009764</v>
      </c>
      <c r="M10" s="71">
        <v>0.21565504647272252</v>
      </c>
      <c r="N10" s="71">
        <v>0.21911773590139075</v>
      </c>
    </row>
    <row r="11" spans="1:14" ht="15.75" x14ac:dyDescent="0.25">
      <c r="A11" s="70">
        <v>8</v>
      </c>
      <c r="B11" s="71">
        <v>0.16103594264812895</v>
      </c>
      <c r="C11" s="71">
        <v>0.16423729705258017</v>
      </c>
      <c r="D11" s="71">
        <v>0.16746776249075465</v>
      </c>
      <c r="E11" s="71">
        <v>0.17072702322013064</v>
      </c>
      <c r="F11" s="71">
        <v>0.17401476059182208</v>
      </c>
      <c r="G11" s="71">
        <v>0.1773306533354076</v>
      </c>
      <c r="H11" s="71">
        <v>0.18067437783749626</v>
      </c>
      <c r="I11" s="71">
        <v>0.18404560841384052</v>
      </c>
      <c r="J11" s="71">
        <v>0.18744401757481335</v>
      </c>
      <c r="K11" s="71">
        <v>0.19086927628410505</v>
      </c>
      <c r="L11" s="71">
        <v>0.19432105421050003</v>
      </c>
      <c r="M11" s="71">
        <v>0.19779901997262925</v>
      </c>
      <c r="N11" s="71">
        <v>0.20130284137660021</v>
      </c>
    </row>
    <row r="12" spans="1:14" ht="15.75" x14ac:dyDescent="0.25">
      <c r="A12" s="70">
        <v>9</v>
      </c>
      <c r="B12" s="71">
        <v>0.14702223500306358</v>
      </c>
      <c r="C12" s="71">
        <v>0.15023803291975996</v>
      </c>
      <c r="D12" s="71">
        <v>0.15348647013842193</v>
      </c>
      <c r="E12" s="71">
        <v>0.15676715948422348</v>
      </c>
      <c r="F12" s="71">
        <v>0.16007970917199471</v>
      </c>
      <c r="G12" s="71">
        <v>0.16342372325381363</v>
      </c>
      <c r="H12" s="71">
        <v>0.1667988020571548</v>
      </c>
      <c r="I12" s="71">
        <v>0.17020454261312362</v>
      </c>
      <c r="J12" s="71">
        <v>0.17364053907434343</v>
      </c>
      <c r="K12" s="71">
        <v>0.17710638312212132</v>
      </c>
      <c r="L12" s="71">
        <v>0.18060166436255287</v>
      </c>
      <c r="M12" s="71">
        <v>0.1841259707112812</v>
      </c>
      <c r="N12" s="71">
        <v>0.18767888876666056</v>
      </c>
    </row>
    <row r="13" spans="1:14" ht="15.75" x14ac:dyDescent="0.25">
      <c r="A13" s="70">
        <v>10</v>
      </c>
      <c r="B13" s="71">
        <v>0.13586795822038372</v>
      </c>
      <c r="C13" s="71">
        <v>0.13910469005566789</v>
      </c>
      <c r="D13" s="71">
        <v>0.14237750272736471</v>
      </c>
      <c r="E13" s="71">
        <v>0.14568592742612232</v>
      </c>
      <c r="F13" s="71">
        <v>0.14902948869707536</v>
      </c>
      <c r="G13" s="71">
        <v>0.15240770510891899</v>
      </c>
      <c r="H13" s="71">
        <v>0.15582008990903373</v>
      </c>
      <c r="I13" s="71">
        <v>0.1592661516636982</v>
      </c>
      <c r="J13" s="71">
        <v>0.16274539488251152</v>
      </c>
      <c r="K13" s="71">
        <v>0.16625732062625342</v>
      </c>
      <c r="L13" s="71">
        <v>0.16980142709749024</v>
      </c>
      <c r="M13" s="71">
        <v>0.17337721021333447</v>
      </c>
      <c r="N13" s="71">
        <v>0.17698416415984403</v>
      </c>
    </row>
    <row r="14" spans="1:14" ht="15.75" x14ac:dyDescent="0.25">
      <c r="A14" s="70">
        <v>11</v>
      </c>
      <c r="B14" s="71">
        <v>0.12679293809753159</v>
      </c>
      <c r="C14" s="71">
        <v>0.13005520581435448</v>
      </c>
      <c r="D14" s="71">
        <v>0.13335690483624485</v>
      </c>
      <c r="E14" s="71">
        <v>0.13669747374389427</v>
      </c>
      <c r="F14" s="71">
        <v>0.14007634214449127</v>
      </c>
      <c r="G14" s="71">
        <v>0.14349293163355584</v>
      </c>
      <c r="H14" s="71">
        <v>0.14694665673635587</v>
      </c>
      <c r="I14" s="71">
        <v>0.15043692582714324</v>
      </c>
      <c r="J14" s="71">
        <v>0.15396314202461459</v>
      </c>
      <c r="K14" s="71">
        <v>0.1575247040621873</v>
      </c>
      <c r="L14" s="71">
        <v>0.16112100713184244</v>
      </c>
      <c r="M14" s="71">
        <v>0.16475144370046249</v>
      </c>
      <c r="N14" s="71">
        <v>0.16841540429774643</v>
      </c>
    </row>
    <row r="15" spans="1:14" ht="15.75" x14ac:dyDescent="0.25">
      <c r="A15" s="70">
        <v>12</v>
      </c>
      <c r="B15" s="71">
        <v>0.11927702938066355</v>
      </c>
      <c r="C15" s="71">
        <v>0.12256816612111758</v>
      </c>
      <c r="D15" s="71">
        <v>0.12590198865502045</v>
      </c>
      <c r="E15" s="71">
        <v>0.1292778313218941</v>
      </c>
      <c r="F15" s="71">
        <v>0.1326950169244695</v>
      </c>
      <c r="G15" s="71">
        <v>0.13615285806795047</v>
      </c>
      <c r="H15" s="71">
        <v>0.13965065846950367</v>
      </c>
      <c r="I15" s="71">
        <v>0.14318771423499385</v>
      </c>
      <c r="J15" s="71">
        <v>0.14676331510028726</v>
      </c>
      <c r="K15" s="71">
        <v>0.15037674563476569</v>
      </c>
      <c r="L15" s="71">
        <v>0.15402728640498858</v>
      </c>
      <c r="M15" s="71">
        <v>0.15771421509674211</v>
      </c>
      <c r="N15" s="71">
        <v>0.16143680759399573</v>
      </c>
    </row>
    <row r="16" spans="1:14" ht="15.75" x14ac:dyDescent="0.25">
      <c r="A16" s="70">
        <v>13</v>
      </c>
      <c r="B16" s="71">
        <v>0.11296010534001905</v>
      </c>
      <c r="C16" s="71">
        <v>0.11628255713863381</v>
      </c>
      <c r="D16" s="71">
        <v>0.11965084813625726</v>
      </c>
      <c r="E16" s="71">
        <v>0.12306419626457941</v>
      </c>
      <c r="F16" s="71">
        <v>0.12652180519655568</v>
      </c>
      <c r="G16" s="71">
        <v>0.13002286616163328</v>
      </c>
      <c r="H16" s="71">
        <v>0.13356655971767886</v>
      </c>
      <c r="I16" s="71">
        <v>0.13715205747486575</v>
      </c>
      <c r="J16" s="71">
        <v>0.14077852376730213</v>
      </c>
      <c r="K16" s="71">
        <v>0.14444511726871467</v>
      </c>
      <c r="L16" s="71">
        <v>0.14815099254900796</v>
      </c>
      <c r="M16" s="71">
        <v>0.15189530156902564</v>
      </c>
      <c r="N16" s="71">
        <v>0.15567719511131664</v>
      </c>
    </row>
    <row r="17" spans="1:14" ht="15.75" x14ac:dyDescent="0.25">
      <c r="A17" s="70">
        <v>14</v>
      </c>
      <c r="B17" s="71">
        <v>0.10758490900609531</v>
      </c>
      <c r="C17" s="71">
        <v>0.11094048058054973</v>
      </c>
      <c r="D17" s="71">
        <v>0.1143449386198428</v>
      </c>
      <c r="E17" s="71">
        <v>0.11779737206870773</v>
      </c>
      <c r="F17" s="71">
        <v>0.12129685282784078</v>
      </c>
      <c r="G17" s="71">
        <v>0.12484243815752435</v>
      </c>
      <c r="H17" s="71">
        <v>0.128433173018556</v>
      </c>
      <c r="I17" s="71">
        <v>0.13206809234331218</v>
      </c>
      <c r="J17" s="71">
        <v>0.13574622323063665</v>
      </c>
      <c r="K17" s="71">
        <v>0.13946658705910925</v>
      </c>
      <c r="L17" s="71">
        <v>0.14322820151407872</v>
      </c>
      <c r="M17" s="71">
        <v>0.14703008252466143</v>
      </c>
      <c r="N17" s="71">
        <v>0.1508712461076816</v>
      </c>
    </row>
    <row r="18" spans="1:14" ht="15.75" x14ac:dyDescent="0.25">
      <c r="A18" s="70">
        <v>15</v>
      </c>
      <c r="B18" s="71">
        <v>0.10296276395531263</v>
      </c>
      <c r="C18" s="71">
        <v>0.10635278296506255</v>
      </c>
      <c r="D18" s="71">
        <v>0.10979462470100652</v>
      </c>
      <c r="E18" s="71">
        <v>0.11328723625419036</v>
      </c>
      <c r="F18" s="71">
        <v>0.11682954493602001</v>
      </c>
      <c r="G18" s="71">
        <v>0.1204204613961629</v>
      </c>
      <c r="H18" s="71">
        <v>0.12405888265031005</v>
      </c>
      <c r="I18" s="71">
        <v>0.12774369500741206</v>
      </c>
      <c r="J18" s="71">
        <v>0.13147377688737216</v>
      </c>
      <c r="K18" s="71">
        <v>0.13524800152154118</v>
      </c>
      <c r="L18" s="71">
        <v>0.1390652395296684</v>
      </c>
      <c r="M18" s="71">
        <v>0.14292436136824055</v>
      </c>
      <c r="N18" s="71">
        <v>0.14682423964634628</v>
      </c>
    </row>
    <row r="19" spans="1:14" ht="15.75" x14ac:dyDescent="0.25">
      <c r="A19" s="70">
        <v>16</v>
      </c>
      <c r="B19" s="71">
        <v>9.89521435893672E-2</v>
      </c>
      <c r="C19" s="71">
        <v>0.1023775739545172</v>
      </c>
      <c r="D19" s="71">
        <v>0.1058576477262428</v>
      </c>
      <c r="E19" s="71">
        <v>0.10939115711324698</v>
      </c>
      <c r="F19" s="71">
        <v>0.11297687198822258</v>
      </c>
      <c r="G19" s="71">
        <v>0.11661354385837014</v>
      </c>
      <c r="H19" s="71">
        <v>0.12029990970758213</v>
      </c>
      <c r="I19" s="71">
        <v>0.12403469569581307</v>
      </c>
      <c r="J19" s="71">
        <v>0.12781662070326982</v>
      </c>
      <c r="K19" s="71">
        <v>0.13164439970913899</v>
      </c>
      <c r="L19" s="71">
        <v>0.13551674699657215</v>
      </c>
      <c r="M19" s="71">
        <v>0.13943237917757845</v>
      </c>
      <c r="N19" s="71">
        <v>0.1433900180332936</v>
      </c>
    </row>
    <row r="20" spans="1:14" ht="15.75" x14ac:dyDescent="0.25">
      <c r="A20" s="70">
        <v>17</v>
      </c>
      <c r="B20" s="71">
        <v>9.5444804231549843E-2</v>
      </c>
      <c r="C20" s="71">
        <v>9.8906326505204631E-2</v>
      </c>
      <c r="D20" s="71">
        <v>0.1024251930616656</v>
      </c>
      <c r="E20" s="71">
        <v>0.10600002816205639</v>
      </c>
      <c r="F20" s="71">
        <v>0.1096294314987091</v>
      </c>
      <c r="G20" s="71">
        <v>0.11331198316754428</v>
      </c>
      <c r="H20" s="71">
        <v>0.11704624845992438</v>
      </c>
      <c r="I20" s="71">
        <v>0.12083078245448613</v>
      </c>
      <c r="J20" s="71">
        <v>0.12466413439263227</v>
      </c>
      <c r="K20" s="71">
        <v>0.12854485182446648</v>
      </c>
      <c r="L20" s="71">
        <v>0.1324714845149256</v>
      </c>
      <c r="M20" s="71">
        <v>0.13644258810269486</v>
      </c>
      <c r="N20" s="71">
        <v>0.1404567275071423</v>
      </c>
    </row>
    <row r="21" spans="1:14" ht="15.75" x14ac:dyDescent="0.25">
      <c r="A21" s="70">
        <v>18</v>
      </c>
      <c r="B21" s="71">
        <v>9.2356540552870889E-2</v>
      </c>
      <c r="C21" s="71">
        <v>9.5854610340660409E-2</v>
      </c>
      <c r="D21" s="71">
        <v>9.9412601658362007E-2</v>
      </c>
      <c r="E21" s="71">
        <v>0.10302895784150388</v>
      </c>
      <c r="F21" s="71">
        <v>0.10670209590483773</v>
      </c>
      <c r="G21" s="71">
        <v>0.11043041267461465</v>
      </c>
      <c r="H21" s="71">
        <v>0.11421229067033987</v>
      </c>
      <c r="I21" s="71">
        <v>0.11804610371060634</v>
      </c>
      <c r="J21" s="71">
        <v>0.12193022222225659</v>
      </c>
      <c r="K21" s="71">
        <v>0.12586301823662799</v>
      </c>
      <c r="L21" s="71">
        <v>0.12984287006091888</v>
      </c>
      <c r="M21" s="71">
        <v>0.13386816661675233</v>
      </c>
      <c r="N21" s="71">
        <v>0.13793731144175672</v>
      </c>
    </row>
    <row r="22" spans="1:14" ht="15.75" x14ac:dyDescent="0.25">
      <c r="A22" s="70">
        <v>19</v>
      </c>
      <c r="B22" s="71">
        <v>8.9620860361667595E-2</v>
      </c>
      <c r="C22" s="71">
        <v>9.3155751729756264E-2</v>
      </c>
      <c r="D22" s="71">
        <v>9.6753014849926072E-2</v>
      </c>
      <c r="E22" s="71">
        <v>0.10041089936238229</v>
      </c>
      <c r="F22" s="71">
        <v>0.1041276274831721</v>
      </c>
      <c r="G22" s="71">
        <v>0.10790140146050414</v>
      </c>
      <c r="H22" s="71">
        <v>0.11173041068840939</v>
      </c>
      <c r="I22" s="71">
        <v>0.11561283844567788</v>
      </c>
      <c r="J22" s="71">
        <v>0.11954686823465582</v>
      </c>
      <c r="K22" s="71">
        <v>0.12353068970087008</v>
      </c>
      <c r="L22" s="71">
        <v>0.12756250412046147</v>
      </c>
      <c r="M22" s="71">
        <v>0.13164052944801455</v>
      </c>
      <c r="N22" s="71">
        <v>0.13576300492250343</v>
      </c>
    </row>
    <row r="23" spans="1:14" ht="15.75" x14ac:dyDescent="0.25">
      <c r="A23" s="70">
        <v>20</v>
      </c>
      <c r="B23" s="71">
        <v>8.7184556976851402E-2</v>
      </c>
      <c r="C23" s="71">
        <v>9.0756395358304584E-2</v>
      </c>
      <c r="D23" s="71">
        <v>9.4392925743255696E-2</v>
      </c>
      <c r="E23" s="71">
        <v>9.8092191632331419E-2</v>
      </c>
      <c r="F23" s="71">
        <v>0.10185220882315059</v>
      </c>
      <c r="G23" s="71">
        <v>0.1056709743577489</v>
      </c>
      <c r="H23" s="71">
        <v>0.10954647500822921</v>
      </c>
      <c r="I23" s="71">
        <v>0.11347669526141041</v>
      </c>
      <c r="J23" s="71">
        <v>0.11745962477254576</v>
      </c>
      <c r="K23" s="71">
        <v>0.12149326526701618</v>
      </c>
      <c r="L23" s="71">
        <v>0.12557563687714221</v>
      </c>
      <c r="M23" s="71">
        <v>0.12970478390883663</v>
      </c>
      <c r="N23" s="71">
        <v>0.13387878003966064</v>
      </c>
    </row>
    <row r="24" spans="1:14" ht="15.6" x14ac:dyDescent="0.3">
      <c r="A24" s="70">
        <v>21</v>
      </c>
      <c r="B24" s="71">
        <v>8.5004546654382077E-2</v>
      </c>
      <c r="C24" s="71">
        <v>8.8613334258603016E-2</v>
      </c>
      <c r="D24" s="71">
        <v>9.2289001664269052E-2</v>
      </c>
      <c r="E24" s="71">
        <v>9.6029374225860317E-2</v>
      </c>
      <c r="F24" s="71">
        <v>9.9832250321928537E-2</v>
      </c>
      <c r="G24" s="71">
        <v>0.1036954119599242</v>
      </c>
      <c r="H24" s="71">
        <v>0.10761663476789851</v>
      </c>
      <c r="I24" s="71">
        <v>0.11159369732661772</v>
      </c>
      <c r="J24" s="71">
        <v>0.11562438980835625</v>
      </c>
      <c r="K24" s="71">
        <v>0.11970652190059232</v>
      </c>
      <c r="L24" s="71">
        <v>0.12383793000384771</v>
      </c>
      <c r="M24" s="71">
        <v>0.1280164837028992</v>
      </c>
      <c r="N24" s="71">
        <v>0.13224009151946137</v>
      </c>
    </row>
    <row r="25" spans="1:14" ht="15.6" x14ac:dyDescent="0.3">
      <c r="A25" s="70">
        <v>22</v>
      </c>
      <c r="B25" s="71">
        <v>8.3045568547600784E-2</v>
      </c>
      <c r="C25" s="71">
        <v>8.6691204319745724E-2</v>
      </c>
      <c r="D25" s="71">
        <v>9.0405773225133976E-2</v>
      </c>
      <c r="E25" s="71">
        <v>9.4186871009468737E-2</v>
      </c>
      <c r="F25" s="71">
        <v>9.8032068359628022E-2</v>
      </c>
      <c r="G25" s="71">
        <v>0.10193892332733828</v>
      </c>
      <c r="H25" s="71">
        <v>0.10590499295055286</v>
      </c>
      <c r="I25" s="71">
        <v>0.10992784401938006</v>
      </c>
      <c r="J25" s="71">
        <v>0.11400506295047944</v>
      </c>
      <c r="K25" s="71">
        <v>0.11813426474968587</v>
      </c>
      <c r="L25" s="71">
        <v>0.12231310105701836</v>
      </c>
      <c r="M25" s="71">
        <v>0.12653926728106885</v>
      </c>
      <c r="N25" s="71">
        <v>0.13081050884096077</v>
      </c>
    </row>
    <row r="26" spans="1:14" ht="15.6" x14ac:dyDescent="0.3">
      <c r="A26" s="70">
        <v>23</v>
      </c>
      <c r="B26" s="71">
        <v>8.1278484688788899E-2</v>
      </c>
      <c r="C26" s="71">
        <v>8.4960780241452441E-2</v>
      </c>
      <c r="D26" s="71">
        <v>8.871392625222356E-2</v>
      </c>
      <c r="E26" s="71">
        <v>9.2535278038720581E-2</v>
      </c>
      <c r="F26" s="71">
        <v>9.642216915082133E-2</v>
      </c>
      <c r="G26" s="71">
        <v>0.10037192576535067</v>
      </c>
      <c r="H26" s="71">
        <v>0.10438188004569757</v>
      </c>
      <c r="I26" s="71">
        <v>0.10844938240788869</v>
      </c>
      <c r="J26" s="71">
        <v>0.1125718126571046</v>
      </c>
      <c r="K26" s="71">
        <v>0.11674658997917947</v>
      </c>
      <c r="L26" s="71">
        <v>0.12097118179002064</v>
      </c>
      <c r="M26" s="71">
        <v>0.12524311146199027</v>
      </c>
      <c r="N26" s="71">
        <v>0.12955996496003661</v>
      </c>
    </row>
    <row r="27" spans="1:14" ht="15.6" x14ac:dyDescent="0.3">
      <c r="A27" s="70">
        <v>24</v>
      </c>
      <c r="B27" s="71">
        <v>7.9679004983543356E-2</v>
      </c>
      <c r="C27" s="71">
        <v>8.3397697506641916E-2</v>
      </c>
      <c r="D27" s="71">
        <v>8.7189020734440459E-2</v>
      </c>
      <c r="E27" s="71">
        <v>9.1050079472215564E-2</v>
      </c>
      <c r="F27" s="71">
        <v>9.4977961603549377E-2</v>
      </c>
      <c r="G27" s="71">
        <v>9.896975459425586E-2</v>
      </c>
      <c r="H27" s="71">
        <v>0.10302256067901301</v>
      </c>
      <c r="I27" s="71">
        <v>0.10713351066935735</v>
      </c>
      <c r="J27" s="71">
        <v>0.1112997763506878</v>
      </c>
      <c r="K27" s="71">
        <v>0.11551858146206516</v>
      </c>
      <c r="L27" s="71">
        <v>0.11978721127558457</v>
      </c>
      <c r="M27" s="71">
        <v>0.12410302081181529</v>
      </c>
      <c r="N27" s="71">
        <v>0.12846344174421481</v>
      </c>
    </row>
    <row r="28" spans="1:14" ht="15.6" x14ac:dyDescent="0.3">
      <c r="A28" s="70">
        <v>25</v>
      </c>
      <c r="B28" s="71">
        <v>7.8226718212273949E-2</v>
      </c>
      <c r="C28" s="71">
        <v>8.1981481083984981E-2</v>
      </c>
      <c r="D28" s="71">
        <v>8.5810517220665627E-2</v>
      </c>
      <c r="E28" s="71">
        <v>8.9710671649444018E-2</v>
      </c>
      <c r="F28" s="71">
        <v>9.3678779051968114E-2</v>
      </c>
      <c r="G28" s="71">
        <v>9.7711682497043373E-2</v>
      </c>
      <c r="H28" s="71">
        <v>0.10180625051857181</v>
      </c>
      <c r="I28" s="71">
        <v>0.10595939247834853</v>
      </c>
      <c r="J28" s="71">
        <v>0.11016807219002082</v>
      </c>
      <c r="K28" s="71">
        <v>0.11442931981310331</v>
      </c>
      <c r="L28" s="71">
        <v>0.11874024205405564</v>
      </c>
      <c r="M28" s="71">
        <v>0.12309803073497765</v>
      </c>
      <c r="N28" s="71">
        <v>0.12749996980950776</v>
      </c>
    </row>
    <row r="29" spans="1:14" ht="15.6" x14ac:dyDescent="0.3">
      <c r="A29" s="70">
        <v>30</v>
      </c>
      <c r="B29" s="71">
        <v>7.2648911490047208E-2</v>
      </c>
      <c r="C29" s="71">
        <v>7.6577442245910621E-2</v>
      </c>
      <c r="D29" s="71">
        <v>8.0586403511111196E-2</v>
      </c>
      <c r="E29" s="71">
        <v>8.467123576763981E-2</v>
      </c>
      <c r="F29" s="71">
        <v>8.8827433387272267E-2</v>
      </c>
      <c r="G29" s="71">
        <v>9.3050575311267661E-2</v>
      </c>
      <c r="H29" s="71">
        <v>9.7336351390889794E-2</v>
      </c>
      <c r="I29" s="71">
        <v>0.10168058445364078</v>
      </c>
      <c r="J29" s="71">
        <v>0.1060792482526339</v>
      </c>
      <c r="K29" s="71">
        <v>0.11052848152960514</v>
      </c>
      <c r="L29" s="71">
        <v>0.11502459847639437</v>
      </c>
      <c r="M29" s="71">
        <v>0.11956409591675328</v>
      </c>
      <c r="N29" s="71">
        <v>0.12414365755194319</v>
      </c>
    </row>
    <row r="30" spans="1:14" ht="15.6" x14ac:dyDescent="0.3">
      <c r="A30" s="70">
        <v>35</v>
      </c>
      <c r="B30" s="71">
        <v>6.8973858979663238E-2</v>
      </c>
      <c r="C30" s="71">
        <v>7.3062260629668321E-2</v>
      </c>
      <c r="D30" s="71">
        <v>7.7233959649003259E-2</v>
      </c>
      <c r="E30" s="71">
        <v>8.1482914691428251E-2</v>
      </c>
      <c r="F30" s="71">
        <v>8.5803264560679798E-2</v>
      </c>
      <c r="G30" s="71">
        <v>9.0189368478301973E-2</v>
      </c>
      <c r="H30" s="71">
        <v>9.4635837474221912E-2</v>
      </c>
      <c r="I30" s="71">
        <v>9.9137557513505808E-2</v>
      </c>
      <c r="J30" s="71">
        <v>0.10368970511989745</v>
      </c>
      <c r="K30" s="71">
        <v>0.10828775634638044</v>
      </c>
      <c r="L30" s="71">
        <v>0.11292748998311637</v>
      </c>
      <c r="M30" s="71">
        <v>0.11760498589261816</v>
      </c>
      <c r="N30" s="71">
        <v>0.12231661932993036</v>
      </c>
    </row>
    <row r="31" spans="1:14" ht="15.6" x14ac:dyDescent="0.3">
      <c r="A31" s="70">
        <v>40</v>
      </c>
      <c r="B31" s="71">
        <v>6.6461535920675496E-2</v>
      </c>
      <c r="C31" s="71">
        <v>7.0693725965819867E-2</v>
      </c>
      <c r="D31" s="71">
        <v>7.5009138873610326E-2</v>
      </c>
      <c r="E31" s="71">
        <v>7.9400313802973424E-2</v>
      </c>
      <c r="F31" s="71">
        <v>8.386016150058534E-2</v>
      </c>
      <c r="G31" s="71">
        <v>8.8382005622383589E-2</v>
      </c>
      <c r="H31" s="71">
        <v>9.2959609221097042E-2</v>
      </c>
      <c r="I31" s="71">
        <v>9.7587188297552571E-2</v>
      </c>
      <c r="J31" s="71">
        <v>0.10225941441436949</v>
      </c>
      <c r="K31" s="71">
        <v>0.10697140835497033</v>
      </c>
      <c r="L31" s="71">
        <v>0.11171872670841716</v>
      </c>
      <c r="M31" s="71">
        <v>0.11649734309902919</v>
      </c>
      <c r="N31" s="71">
        <v>0.12130362558292027</v>
      </c>
    </row>
  </sheetData>
  <mergeCells count="2">
    <mergeCell ref="A1:N1"/>
    <mergeCell ref="A2:N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topLeftCell="A44" zoomScaleNormal="100" workbookViewId="0">
      <selection activeCell="A67" sqref="A67:IV67"/>
    </sheetView>
  </sheetViews>
  <sheetFormatPr defaultRowHeight="14.4" x14ac:dyDescent="0.3"/>
  <cols>
    <col min="1" max="1" width="30.33203125" customWidth="1"/>
    <col min="2" max="13" width="8.6640625" customWidth="1"/>
    <col min="14" max="14" width="10.88671875" customWidth="1"/>
    <col min="15" max="15" width="11" customWidth="1"/>
  </cols>
  <sheetData>
    <row r="1" spans="1:15" ht="24" customHeight="1" thickBot="1" x14ac:dyDescent="0.35">
      <c r="A1" s="406" t="s">
        <v>206</v>
      </c>
      <c r="B1" s="406"/>
      <c r="C1" s="406"/>
      <c r="D1" s="406"/>
      <c r="E1" s="406"/>
      <c r="F1" s="406"/>
      <c r="G1" s="406"/>
      <c r="H1" s="406"/>
      <c r="I1" s="406"/>
      <c r="J1" s="406"/>
      <c r="K1" s="406"/>
      <c r="L1" s="406"/>
      <c r="M1" s="406"/>
      <c r="N1" s="406"/>
    </row>
    <row r="2" spans="1:15" ht="15.75" thickTop="1" x14ac:dyDescent="0.25">
      <c r="A2" s="127"/>
      <c r="B2" s="128" t="s">
        <v>138</v>
      </c>
      <c r="C2" s="128" t="s">
        <v>139</v>
      </c>
      <c r="D2" s="128" t="s">
        <v>140</v>
      </c>
      <c r="E2" s="128" t="s">
        <v>141</v>
      </c>
      <c r="F2" s="128" t="s">
        <v>142</v>
      </c>
      <c r="G2" s="128" t="s">
        <v>143</v>
      </c>
      <c r="H2" s="128" t="s">
        <v>144</v>
      </c>
      <c r="I2" s="128" t="s">
        <v>145</v>
      </c>
      <c r="J2" s="128" t="s">
        <v>146</v>
      </c>
      <c r="K2" s="128" t="s">
        <v>147</v>
      </c>
      <c r="L2" s="128" t="s">
        <v>148</v>
      </c>
      <c r="M2" s="128" t="s">
        <v>149</v>
      </c>
      <c r="N2" s="128" t="s">
        <v>151</v>
      </c>
    </row>
    <row r="3" spans="1:15" ht="15" hidden="1" x14ac:dyDescent="0.25">
      <c r="A3" s="208" t="s">
        <v>169</v>
      </c>
      <c r="B3" s="132" t="s">
        <v>170</v>
      </c>
      <c r="C3" s="132" t="s">
        <v>171</v>
      </c>
      <c r="D3" s="132" t="s">
        <v>172</v>
      </c>
      <c r="E3" s="132" t="s">
        <v>173</v>
      </c>
      <c r="F3" s="132" t="s">
        <v>174</v>
      </c>
      <c r="G3" s="132" t="s">
        <v>175</v>
      </c>
      <c r="H3" s="132" t="s">
        <v>176</v>
      </c>
      <c r="I3" s="132" t="s">
        <v>177</v>
      </c>
      <c r="J3" s="132" t="s">
        <v>178</v>
      </c>
      <c r="K3" s="132" t="s">
        <v>179</v>
      </c>
      <c r="L3" s="132" t="s">
        <v>180</v>
      </c>
      <c r="M3" s="132" t="s">
        <v>181</v>
      </c>
      <c r="N3" s="209" t="s">
        <v>182</v>
      </c>
    </row>
    <row r="4" spans="1:15" ht="15" x14ac:dyDescent="0.25">
      <c r="A4" s="210" t="s">
        <v>150</v>
      </c>
      <c r="B4" s="211"/>
      <c r="C4" s="211"/>
      <c r="D4" s="211"/>
      <c r="E4" s="211"/>
      <c r="F4" s="211"/>
      <c r="G4" s="211"/>
      <c r="H4" s="211"/>
      <c r="I4" s="211"/>
      <c r="J4" s="211"/>
      <c r="K4" s="211"/>
      <c r="L4" s="211"/>
      <c r="M4" s="211"/>
      <c r="N4" s="212"/>
    </row>
    <row r="5" spans="1:15" ht="15" x14ac:dyDescent="0.25">
      <c r="A5" s="213" t="s">
        <v>37</v>
      </c>
      <c r="B5" s="214">
        <v>656718.5</v>
      </c>
      <c r="C5" s="214">
        <v>656718.5</v>
      </c>
      <c r="D5" s="214">
        <v>656718.5</v>
      </c>
      <c r="E5" s="214">
        <v>656718.5</v>
      </c>
      <c r="F5" s="214">
        <v>656718.5</v>
      </c>
      <c r="G5" s="214">
        <v>656718.5</v>
      </c>
      <c r="H5" s="214">
        <v>656718.5</v>
      </c>
      <c r="I5" s="214">
        <v>656718.5</v>
      </c>
      <c r="J5" s="214">
        <v>656718.5</v>
      </c>
      <c r="K5" s="214">
        <v>656718.5</v>
      </c>
      <c r="L5" s="214">
        <v>656718.5</v>
      </c>
      <c r="M5" s="214">
        <v>656718.5</v>
      </c>
      <c r="N5" s="215">
        <v>7880622</v>
      </c>
    </row>
    <row r="6" spans="1:15" ht="15" x14ac:dyDescent="0.25">
      <c r="A6" s="213" t="s">
        <v>43</v>
      </c>
      <c r="B6" s="214">
        <v>1971.5</v>
      </c>
      <c r="C6" s="214">
        <v>1971.5</v>
      </c>
      <c r="D6" s="214">
        <v>1971.5</v>
      </c>
      <c r="E6" s="214">
        <v>1971.5</v>
      </c>
      <c r="F6" s="214">
        <v>1971.5</v>
      </c>
      <c r="G6" s="214">
        <v>1971.5</v>
      </c>
      <c r="H6" s="214">
        <v>1971.5</v>
      </c>
      <c r="I6" s="214">
        <v>1971.5</v>
      </c>
      <c r="J6" s="214">
        <v>1971.5</v>
      </c>
      <c r="K6" s="214">
        <v>1971.5</v>
      </c>
      <c r="L6" s="214">
        <v>1971.5</v>
      </c>
      <c r="M6" s="214">
        <v>1971.5</v>
      </c>
      <c r="N6" s="215">
        <v>23658</v>
      </c>
    </row>
    <row r="7" spans="1:15" ht="15" x14ac:dyDescent="0.25">
      <c r="A7" s="213" t="s">
        <v>44</v>
      </c>
      <c r="B7" s="214">
        <v>7323</v>
      </c>
      <c r="C7" s="214">
        <v>7323</v>
      </c>
      <c r="D7" s="214">
        <v>7323</v>
      </c>
      <c r="E7" s="214">
        <v>7323</v>
      </c>
      <c r="F7" s="214">
        <v>7323</v>
      </c>
      <c r="G7" s="214">
        <v>7323</v>
      </c>
      <c r="H7" s="214">
        <v>7323</v>
      </c>
      <c r="I7" s="214">
        <v>7323</v>
      </c>
      <c r="J7" s="214">
        <v>7323</v>
      </c>
      <c r="K7" s="214">
        <v>7323</v>
      </c>
      <c r="L7" s="214">
        <v>7323</v>
      </c>
      <c r="M7" s="214">
        <v>7323</v>
      </c>
      <c r="N7" s="215">
        <v>87876</v>
      </c>
    </row>
    <row r="8" spans="1:15" ht="15" x14ac:dyDescent="0.25">
      <c r="A8" s="213" t="s">
        <v>45</v>
      </c>
      <c r="B8" s="214">
        <v>5873</v>
      </c>
      <c r="C8" s="214">
        <v>5873</v>
      </c>
      <c r="D8" s="214">
        <v>5873</v>
      </c>
      <c r="E8" s="214">
        <v>5873</v>
      </c>
      <c r="F8" s="214">
        <v>5873</v>
      </c>
      <c r="G8" s="214">
        <v>5873</v>
      </c>
      <c r="H8" s="214">
        <v>5873</v>
      </c>
      <c r="I8" s="214">
        <v>5873</v>
      </c>
      <c r="J8" s="214">
        <v>5873</v>
      </c>
      <c r="K8" s="214">
        <v>5873</v>
      </c>
      <c r="L8" s="214">
        <v>5873</v>
      </c>
      <c r="M8" s="214">
        <v>5873</v>
      </c>
      <c r="N8" s="215">
        <v>70476</v>
      </c>
    </row>
    <row r="9" spans="1:15" ht="15" x14ac:dyDescent="0.25">
      <c r="A9" s="216" t="s">
        <v>152</v>
      </c>
      <c r="B9" s="214">
        <v>671886</v>
      </c>
      <c r="C9" s="214">
        <v>671886</v>
      </c>
      <c r="D9" s="214">
        <v>671886</v>
      </c>
      <c r="E9" s="214">
        <v>671886</v>
      </c>
      <c r="F9" s="214">
        <v>671886</v>
      </c>
      <c r="G9" s="214">
        <v>671886</v>
      </c>
      <c r="H9" s="214">
        <v>671886</v>
      </c>
      <c r="I9" s="214">
        <v>671886</v>
      </c>
      <c r="J9" s="214">
        <v>671886</v>
      </c>
      <c r="K9" s="214">
        <v>671886</v>
      </c>
      <c r="L9" s="214">
        <v>671886</v>
      </c>
      <c r="M9" s="214">
        <v>671886</v>
      </c>
      <c r="N9" s="215">
        <v>8062632</v>
      </c>
    </row>
    <row r="10" spans="1:15" ht="15" x14ac:dyDescent="0.25">
      <c r="A10" s="213"/>
      <c r="B10" s="211"/>
      <c r="C10" s="211"/>
      <c r="D10" s="211"/>
      <c r="E10" s="211"/>
      <c r="F10" s="211"/>
      <c r="G10" s="211"/>
      <c r="H10" s="211"/>
      <c r="I10" s="211"/>
      <c r="J10" s="211"/>
      <c r="K10" s="211"/>
      <c r="L10" s="211"/>
      <c r="M10" s="211"/>
      <c r="N10" s="212"/>
    </row>
    <row r="11" spans="1:15" ht="15" x14ac:dyDescent="0.25">
      <c r="A11" s="217" t="s">
        <v>153</v>
      </c>
      <c r="B11" s="218"/>
      <c r="C11" s="218"/>
      <c r="D11" s="218"/>
      <c r="E11" s="218"/>
      <c r="F11" s="218"/>
      <c r="G11" s="218"/>
      <c r="H11" s="218"/>
      <c r="I11" s="218"/>
      <c r="J11" s="218"/>
      <c r="K11" s="218"/>
      <c r="L11" s="218"/>
      <c r="M11" s="218"/>
      <c r="N11" s="219"/>
      <c r="O11" s="125"/>
    </row>
    <row r="12" spans="1:15" ht="15" x14ac:dyDescent="0.25">
      <c r="A12" s="213" t="s">
        <v>54</v>
      </c>
      <c r="B12" s="214">
        <v>70843.5</v>
      </c>
      <c r="C12" s="214">
        <v>70843.5</v>
      </c>
      <c r="D12" s="214">
        <v>70843.5</v>
      </c>
      <c r="E12" s="214">
        <v>70843.5</v>
      </c>
      <c r="F12" s="214">
        <v>70843.5</v>
      </c>
      <c r="G12" s="214">
        <v>70843.5</v>
      </c>
      <c r="H12" s="214">
        <v>70843.5</v>
      </c>
      <c r="I12" s="214">
        <v>70843.5</v>
      </c>
      <c r="J12" s="214">
        <v>70843.5</v>
      </c>
      <c r="K12" s="214">
        <v>70843.5</v>
      </c>
      <c r="L12" s="214">
        <v>70843.5</v>
      </c>
      <c r="M12" s="214">
        <v>70843.5</v>
      </c>
      <c r="N12" s="215">
        <v>850122</v>
      </c>
      <c r="O12" s="125"/>
    </row>
    <row r="13" spans="1:15" ht="15" x14ac:dyDescent="0.25">
      <c r="A13" s="213" t="s">
        <v>55</v>
      </c>
      <c r="B13" s="214">
        <v>12245.5</v>
      </c>
      <c r="C13" s="214">
        <v>12245.5</v>
      </c>
      <c r="D13" s="214">
        <v>12245.5</v>
      </c>
      <c r="E13" s="214">
        <v>12245.5</v>
      </c>
      <c r="F13" s="214">
        <v>12245.5</v>
      </c>
      <c r="G13" s="214">
        <v>12245.5</v>
      </c>
      <c r="H13" s="214">
        <v>12245.5</v>
      </c>
      <c r="I13" s="214">
        <v>12245.5</v>
      </c>
      <c r="J13" s="214">
        <v>12245.5</v>
      </c>
      <c r="K13" s="214">
        <v>12245.5</v>
      </c>
      <c r="L13" s="214">
        <v>12245.5</v>
      </c>
      <c r="M13" s="214">
        <v>12245.5</v>
      </c>
      <c r="N13" s="215">
        <v>146946</v>
      </c>
      <c r="O13" s="125"/>
    </row>
    <row r="14" spans="1:15" ht="15" x14ac:dyDescent="0.25">
      <c r="A14" s="213" t="s">
        <v>56</v>
      </c>
      <c r="B14" s="214">
        <v>1663</v>
      </c>
      <c r="C14" s="214">
        <v>1663</v>
      </c>
      <c r="D14" s="214">
        <v>1663</v>
      </c>
      <c r="E14" s="214">
        <v>1663</v>
      </c>
      <c r="F14" s="214">
        <v>1663</v>
      </c>
      <c r="G14" s="214">
        <v>1663</v>
      </c>
      <c r="H14" s="214">
        <v>1663</v>
      </c>
      <c r="I14" s="214">
        <v>1663</v>
      </c>
      <c r="J14" s="214">
        <v>1663</v>
      </c>
      <c r="K14" s="214">
        <v>1663</v>
      </c>
      <c r="L14" s="214">
        <v>1663</v>
      </c>
      <c r="M14" s="214">
        <v>1663</v>
      </c>
      <c r="N14" s="215">
        <v>19956</v>
      </c>
      <c r="O14" s="125"/>
    </row>
    <row r="15" spans="1:15" ht="15" x14ac:dyDescent="0.25">
      <c r="A15" s="213" t="s">
        <v>57</v>
      </c>
      <c r="B15" s="214">
        <v>817</v>
      </c>
      <c r="C15" s="214">
        <v>817</v>
      </c>
      <c r="D15" s="214">
        <v>817</v>
      </c>
      <c r="E15" s="214">
        <v>817</v>
      </c>
      <c r="F15" s="214">
        <v>817</v>
      </c>
      <c r="G15" s="214">
        <v>817</v>
      </c>
      <c r="H15" s="214">
        <v>817</v>
      </c>
      <c r="I15" s="214">
        <v>817</v>
      </c>
      <c r="J15" s="214">
        <v>817</v>
      </c>
      <c r="K15" s="214">
        <v>817</v>
      </c>
      <c r="L15" s="214">
        <v>817</v>
      </c>
      <c r="M15" s="214">
        <v>817</v>
      </c>
      <c r="N15" s="215">
        <v>9804</v>
      </c>
      <c r="O15" s="125"/>
    </row>
    <row r="16" spans="1:15" ht="15" x14ac:dyDescent="0.25">
      <c r="A16" s="213" t="s">
        <v>58</v>
      </c>
      <c r="B16" s="214">
        <v>44281.5</v>
      </c>
      <c r="C16" s="214">
        <v>44281.5</v>
      </c>
      <c r="D16" s="214">
        <v>44281.5</v>
      </c>
      <c r="E16" s="214">
        <v>44281.5</v>
      </c>
      <c r="F16" s="214">
        <v>44281.5</v>
      </c>
      <c r="G16" s="214">
        <v>44281.5</v>
      </c>
      <c r="H16" s="214">
        <v>44281.5</v>
      </c>
      <c r="I16" s="214">
        <v>44281.5</v>
      </c>
      <c r="J16" s="214">
        <v>44281.5</v>
      </c>
      <c r="K16" s="214">
        <v>44281.5</v>
      </c>
      <c r="L16" s="214">
        <v>44281.5</v>
      </c>
      <c r="M16" s="214">
        <v>44281.5</v>
      </c>
      <c r="N16" s="215">
        <v>531378</v>
      </c>
      <c r="O16" s="125"/>
    </row>
    <row r="17" spans="1:15" ht="15" x14ac:dyDescent="0.25">
      <c r="A17" s="213" t="s">
        <v>59</v>
      </c>
      <c r="B17" s="214">
        <v>11584.5</v>
      </c>
      <c r="C17" s="214">
        <v>11584.5</v>
      </c>
      <c r="D17" s="214">
        <v>11584.5</v>
      </c>
      <c r="E17" s="214">
        <v>11584.5</v>
      </c>
      <c r="F17" s="214">
        <v>11584.5</v>
      </c>
      <c r="G17" s="214">
        <v>11584.5</v>
      </c>
      <c r="H17" s="214">
        <v>11584.5</v>
      </c>
      <c r="I17" s="214">
        <v>11584.5</v>
      </c>
      <c r="J17" s="214">
        <v>11584.5</v>
      </c>
      <c r="K17" s="214">
        <v>11584.5</v>
      </c>
      <c r="L17" s="214">
        <v>11584.5</v>
      </c>
      <c r="M17" s="214">
        <v>11584.5</v>
      </c>
      <c r="N17" s="215">
        <v>139014</v>
      </c>
      <c r="O17" s="125"/>
    </row>
    <row r="18" spans="1:15" ht="15" x14ac:dyDescent="0.25">
      <c r="A18" s="213" t="s">
        <v>154</v>
      </c>
      <c r="B18" s="214">
        <v>64929.5</v>
      </c>
      <c r="C18" s="214">
        <v>64929.5</v>
      </c>
      <c r="D18" s="214">
        <v>64929.5</v>
      </c>
      <c r="E18" s="214">
        <v>64929.5</v>
      </c>
      <c r="F18" s="214">
        <v>64929.5</v>
      </c>
      <c r="G18" s="214">
        <v>64929.5</v>
      </c>
      <c r="H18" s="214">
        <v>64929.5</v>
      </c>
      <c r="I18" s="214">
        <v>64929.5</v>
      </c>
      <c r="J18" s="214">
        <v>64929.5</v>
      </c>
      <c r="K18" s="214">
        <v>64929.5</v>
      </c>
      <c r="L18" s="214">
        <v>64929.5</v>
      </c>
      <c r="M18" s="214">
        <v>64929.5</v>
      </c>
      <c r="N18" s="215">
        <v>779154</v>
      </c>
    </row>
    <row r="19" spans="1:15" ht="15" x14ac:dyDescent="0.25">
      <c r="A19" s="213" t="s">
        <v>155</v>
      </c>
      <c r="B19" s="214"/>
      <c r="C19" s="214"/>
      <c r="D19" s="214"/>
      <c r="E19" s="214"/>
      <c r="F19" s="214"/>
      <c r="G19" s="214"/>
      <c r="H19" s="214"/>
      <c r="I19" s="214"/>
      <c r="J19" s="214"/>
      <c r="K19" s="214"/>
      <c r="L19" s="214"/>
      <c r="M19" s="214"/>
      <c r="N19" s="220"/>
      <c r="O19" s="125"/>
    </row>
    <row r="20" spans="1:15" ht="15" x14ac:dyDescent="0.25">
      <c r="A20" s="213" t="s">
        <v>62</v>
      </c>
      <c r="B20" s="214">
        <v>21413</v>
      </c>
      <c r="C20" s="214">
        <v>21413</v>
      </c>
      <c r="D20" s="214">
        <v>21413</v>
      </c>
      <c r="E20" s="214">
        <v>21413</v>
      </c>
      <c r="F20" s="214">
        <v>21413</v>
      </c>
      <c r="G20" s="214">
        <v>21413</v>
      </c>
      <c r="H20" s="214">
        <v>21413</v>
      </c>
      <c r="I20" s="214">
        <v>21413</v>
      </c>
      <c r="J20" s="214">
        <v>21413</v>
      </c>
      <c r="K20" s="214">
        <v>21413</v>
      </c>
      <c r="L20" s="214">
        <v>21413</v>
      </c>
      <c r="M20" s="214">
        <v>21413</v>
      </c>
      <c r="N20" s="215">
        <v>256956</v>
      </c>
      <c r="O20" s="125"/>
    </row>
    <row r="21" spans="1:15" ht="15" x14ac:dyDescent="0.25">
      <c r="A21" s="213" t="s">
        <v>63</v>
      </c>
      <c r="B21" s="214">
        <v>28101</v>
      </c>
      <c r="C21" s="214">
        <v>28101</v>
      </c>
      <c r="D21" s="214">
        <v>28101</v>
      </c>
      <c r="E21" s="214">
        <v>28101</v>
      </c>
      <c r="F21" s="214">
        <v>28101</v>
      </c>
      <c r="G21" s="214">
        <v>28101</v>
      </c>
      <c r="H21" s="214">
        <v>28101</v>
      </c>
      <c r="I21" s="214">
        <v>28101</v>
      </c>
      <c r="J21" s="214">
        <v>28101</v>
      </c>
      <c r="K21" s="214">
        <v>28101</v>
      </c>
      <c r="L21" s="214">
        <v>28101</v>
      </c>
      <c r="M21" s="214">
        <v>28101</v>
      </c>
      <c r="N21" s="215">
        <v>337212</v>
      </c>
      <c r="O21" s="125"/>
    </row>
    <row r="22" spans="1:15" ht="15" x14ac:dyDescent="0.25">
      <c r="A22" s="213" t="s">
        <v>64</v>
      </c>
      <c r="B22" s="214">
        <v>44020.5</v>
      </c>
      <c r="C22" s="214">
        <v>44020.5</v>
      </c>
      <c r="D22" s="214">
        <v>44020.5</v>
      </c>
      <c r="E22" s="214">
        <v>44020.5</v>
      </c>
      <c r="F22" s="214">
        <v>44020.5</v>
      </c>
      <c r="G22" s="214">
        <v>44020.5</v>
      </c>
      <c r="H22" s="214">
        <v>44020.5</v>
      </c>
      <c r="I22" s="214">
        <v>44020.5</v>
      </c>
      <c r="J22" s="214">
        <v>44020.5</v>
      </c>
      <c r="K22" s="214">
        <v>44020.5</v>
      </c>
      <c r="L22" s="214">
        <v>44020.5</v>
      </c>
      <c r="M22" s="214">
        <v>44020.5</v>
      </c>
      <c r="N22" s="215">
        <v>528246</v>
      </c>
      <c r="O22" s="125"/>
    </row>
    <row r="23" spans="1:15" ht="15" x14ac:dyDescent="0.25">
      <c r="A23" s="213" t="s">
        <v>65</v>
      </c>
      <c r="B23" s="214">
        <v>9669</v>
      </c>
      <c r="C23" s="214">
        <v>9669</v>
      </c>
      <c r="D23" s="214">
        <v>9669</v>
      </c>
      <c r="E23" s="214">
        <v>9669</v>
      </c>
      <c r="F23" s="214">
        <v>9669</v>
      </c>
      <c r="G23" s="214">
        <v>9669</v>
      </c>
      <c r="H23" s="214">
        <v>9669</v>
      </c>
      <c r="I23" s="214">
        <v>9669</v>
      </c>
      <c r="J23" s="214">
        <v>9669</v>
      </c>
      <c r="K23" s="214">
        <v>9669</v>
      </c>
      <c r="L23" s="214">
        <v>9669</v>
      </c>
      <c r="M23" s="214">
        <v>9669</v>
      </c>
      <c r="N23" s="215">
        <v>116028</v>
      </c>
      <c r="O23" s="125"/>
    </row>
    <row r="24" spans="1:15" ht="15" x14ac:dyDescent="0.25">
      <c r="A24" s="213" t="s">
        <v>66</v>
      </c>
      <c r="B24" s="214">
        <v>3032</v>
      </c>
      <c r="C24" s="214">
        <v>3032</v>
      </c>
      <c r="D24" s="214">
        <v>3032</v>
      </c>
      <c r="E24" s="214">
        <v>3032</v>
      </c>
      <c r="F24" s="214">
        <v>3032</v>
      </c>
      <c r="G24" s="214">
        <v>3032</v>
      </c>
      <c r="H24" s="214">
        <v>3032</v>
      </c>
      <c r="I24" s="214">
        <v>3032</v>
      </c>
      <c r="J24" s="214">
        <v>3032</v>
      </c>
      <c r="K24" s="214">
        <v>3032</v>
      </c>
      <c r="L24" s="214">
        <v>3032</v>
      </c>
      <c r="M24" s="214">
        <v>3032</v>
      </c>
      <c r="N24" s="215">
        <v>36384</v>
      </c>
      <c r="O24" s="125"/>
    </row>
    <row r="25" spans="1:15" ht="15" x14ac:dyDescent="0.25">
      <c r="A25" s="213" t="s">
        <v>67</v>
      </c>
      <c r="B25" s="214">
        <v>18663.5</v>
      </c>
      <c r="C25" s="214">
        <v>18663.5</v>
      </c>
      <c r="D25" s="214">
        <v>18663.5</v>
      </c>
      <c r="E25" s="214">
        <v>18663.5</v>
      </c>
      <c r="F25" s="214">
        <v>18663.5</v>
      </c>
      <c r="G25" s="214">
        <v>18663.5</v>
      </c>
      <c r="H25" s="214">
        <v>18663.5</v>
      </c>
      <c r="I25" s="214">
        <v>18663.5</v>
      </c>
      <c r="J25" s="214">
        <v>18663.5</v>
      </c>
      <c r="K25" s="214">
        <v>18663.5</v>
      </c>
      <c r="L25" s="214">
        <v>18663.5</v>
      </c>
      <c r="M25" s="214">
        <v>18663.5</v>
      </c>
      <c r="N25" s="215">
        <v>223962</v>
      </c>
      <c r="O25" s="125"/>
    </row>
    <row r="26" spans="1:15" ht="15" x14ac:dyDescent="0.25">
      <c r="A26" s="213" t="s">
        <v>68</v>
      </c>
      <c r="B26" s="214">
        <v>1592</v>
      </c>
      <c r="C26" s="214">
        <v>1592</v>
      </c>
      <c r="D26" s="214">
        <v>1592</v>
      </c>
      <c r="E26" s="214">
        <v>1592</v>
      </c>
      <c r="F26" s="214">
        <v>1592</v>
      </c>
      <c r="G26" s="214">
        <v>1592</v>
      </c>
      <c r="H26" s="214">
        <v>1592</v>
      </c>
      <c r="I26" s="214">
        <v>1592</v>
      </c>
      <c r="J26" s="214">
        <v>1592</v>
      </c>
      <c r="K26" s="214">
        <v>1592</v>
      </c>
      <c r="L26" s="214">
        <v>1592</v>
      </c>
      <c r="M26" s="214">
        <v>1592</v>
      </c>
      <c r="N26" s="215">
        <v>19104</v>
      </c>
      <c r="O26" s="125"/>
    </row>
    <row r="27" spans="1:15" ht="15" x14ac:dyDescent="0.25">
      <c r="A27" s="213" t="s">
        <v>69</v>
      </c>
      <c r="B27" s="214">
        <v>1887</v>
      </c>
      <c r="C27" s="214">
        <v>1887</v>
      </c>
      <c r="D27" s="214">
        <v>1887</v>
      </c>
      <c r="E27" s="214">
        <v>1887</v>
      </c>
      <c r="F27" s="214">
        <v>1887</v>
      </c>
      <c r="G27" s="214">
        <v>1887</v>
      </c>
      <c r="H27" s="214">
        <v>1887</v>
      </c>
      <c r="I27" s="214">
        <v>1887</v>
      </c>
      <c r="J27" s="214">
        <v>1887</v>
      </c>
      <c r="K27" s="214">
        <v>1887</v>
      </c>
      <c r="L27" s="214">
        <v>1887</v>
      </c>
      <c r="M27" s="214">
        <v>1887</v>
      </c>
      <c r="N27" s="215">
        <v>22644</v>
      </c>
      <c r="O27" s="125"/>
    </row>
    <row r="28" spans="1:15" ht="15" x14ac:dyDescent="0.25">
      <c r="A28" s="213" t="s">
        <v>79</v>
      </c>
      <c r="B28" s="214">
        <v>35625.5</v>
      </c>
      <c r="C28" s="214">
        <v>35625.5</v>
      </c>
      <c r="D28" s="214">
        <v>35625.5</v>
      </c>
      <c r="E28" s="214">
        <v>35625.5</v>
      </c>
      <c r="F28" s="214">
        <v>35625.5</v>
      </c>
      <c r="G28" s="214">
        <v>35625.5</v>
      </c>
      <c r="H28" s="214">
        <v>35625.5</v>
      </c>
      <c r="I28" s="214">
        <v>35625.5</v>
      </c>
      <c r="J28" s="214">
        <v>35625.5</v>
      </c>
      <c r="K28" s="214">
        <v>35625.5</v>
      </c>
      <c r="L28" s="214">
        <v>35625.5</v>
      </c>
      <c r="M28" s="214">
        <v>35625.5</v>
      </c>
      <c r="N28" s="215">
        <v>427506</v>
      </c>
      <c r="O28" s="125"/>
    </row>
    <row r="29" spans="1:15" ht="15" x14ac:dyDescent="0.25">
      <c r="A29" s="213" t="s">
        <v>81</v>
      </c>
      <c r="B29" s="214">
        <v>11250</v>
      </c>
      <c r="C29" s="214">
        <v>11250</v>
      </c>
      <c r="D29" s="214">
        <v>11250</v>
      </c>
      <c r="E29" s="214">
        <v>11250</v>
      </c>
      <c r="F29" s="214">
        <v>11250</v>
      </c>
      <c r="G29" s="214">
        <v>11250</v>
      </c>
      <c r="H29" s="214">
        <v>11250</v>
      </c>
      <c r="I29" s="214">
        <v>11250</v>
      </c>
      <c r="J29" s="214">
        <v>11250</v>
      </c>
      <c r="K29" s="214">
        <v>11250</v>
      </c>
      <c r="L29" s="214">
        <v>11250</v>
      </c>
      <c r="M29" s="214">
        <v>11250</v>
      </c>
      <c r="N29" s="215">
        <v>135000</v>
      </c>
      <c r="O29" s="125"/>
    </row>
    <row r="30" spans="1:15" ht="15" x14ac:dyDescent="0.25">
      <c r="A30" s="213" t="s">
        <v>77</v>
      </c>
      <c r="B30" s="214">
        <v>74792.5</v>
      </c>
      <c r="C30" s="214">
        <v>74792.5</v>
      </c>
      <c r="D30" s="214">
        <v>74792.5</v>
      </c>
      <c r="E30" s="214">
        <v>74792.5</v>
      </c>
      <c r="F30" s="214">
        <v>74792.5</v>
      </c>
      <c r="G30" s="214">
        <v>74792.5</v>
      </c>
      <c r="H30" s="214">
        <v>74792.5</v>
      </c>
      <c r="I30" s="214">
        <v>74792.5</v>
      </c>
      <c r="J30" s="214">
        <v>74792.5</v>
      </c>
      <c r="K30" s="214">
        <v>74792.5</v>
      </c>
      <c r="L30" s="214">
        <v>74792.5</v>
      </c>
      <c r="M30" s="214">
        <v>74792.5</v>
      </c>
      <c r="N30" s="215">
        <v>897510</v>
      </c>
      <c r="O30" s="125"/>
    </row>
    <row r="31" spans="1:15" ht="15" x14ac:dyDescent="0.25">
      <c r="A31" s="213" t="s">
        <v>78</v>
      </c>
      <c r="B31" s="214">
        <v>59792</v>
      </c>
      <c r="C31" s="214">
        <v>59792</v>
      </c>
      <c r="D31" s="214">
        <v>59792</v>
      </c>
      <c r="E31" s="214">
        <v>59792</v>
      </c>
      <c r="F31" s="214">
        <v>59792</v>
      </c>
      <c r="G31" s="214">
        <v>59792</v>
      </c>
      <c r="H31" s="214">
        <v>59792</v>
      </c>
      <c r="I31" s="214">
        <v>59792</v>
      </c>
      <c r="J31" s="214">
        <v>59792</v>
      </c>
      <c r="K31" s="214">
        <v>59792</v>
      </c>
      <c r="L31" s="214">
        <v>59792</v>
      </c>
      <c r="M31" s="214">
        <v>59792</v>
      </c>
      <c r="N31" s="215">
        <v>717504</v>
      </c>
      <c r="O31" s="125"/>
    </row>
    <row r="32" spans="1:15" ht="15" x14ac:dyDescent="0.25">
      <c r="A32" s="213" t="s">
        <v>156</v>
      </c>
      <c r="B32" s="214">
        <v>30625</v>
      </c>
      <c r="C32" s="214">
        <v>30625</v>
      </c>
      <c r="D32" s="214">
        <v>30625</v>
      </c>
      <c r="E32" s="214">
        <v>30625</v>
      </c>
      <c r="F32" s="214">
        <v>30625</v>
      </c>
      <c r="G32" s="214">
        <v>30625</v>
      </c>
      <c r="H32" s="214">
        <v>30625</v>
      </c>
      <c r="I32" s="214">
        <v>30625</v>
      </c>
      <c r="J32" s="214">
        <v>30625</v>
      </c>
      <c r="K32" s="214">
        <v>30625</v>
      </c>
      <c r="L32" s="214">
        <v>30625</v>
      </c>
      <c r="M32" s="214">
        <v>30625</v>
      </c>
      <c r="N32" s="215">
        <v>367500</v>
      </c>
      <c r="O32" s="125"/>
    </row>
    <row r="33" spans="1:15" ht="15" x14ac:dyDescent="0.25">
      <c r="A33" s="213" t="s">
        <v>73</v>
      </c>
      <c r="B33" s="214">
        <v>12708.5</v>
      </c>
      <c r="C33" s="214">
        <v>12708.5</v>
      </c>
      <c r="D33" s="214">
        <v>12708.5</v>
      </c>
      <c r="E33" s="214">
        <v>12708.5</v>
      </c>
      <c r="F33" s="214">
        <v>12708.5</v>
      </c>
      <c r="G33" s="214">
        <v>12708.5</v>
      </c>
      <c r="H33" s="214">
        <v>12708.5</v>
      </c>
      <c r="I33" s="214">
        <v>12708.5</v>
      </c>
      <c r="J33" s="214">
        <v>12708.5</v>
      </c>
      <c r="K33" s="214">
        <v>12708.5</v>
      </c>
      <c r="L33" s="214">
        <v>12708.5</v>
      </c>
      <c r="M33" s="214">
        <v>12708.5</v>
      </c>
      <c r="N33" s="215">
        <v>152502</v>
      </c>
      <c r="O33" s="125"/>
    </row>
    <row r="34" spans="1:15" ht="15" x14ac:dyDescent="0.25">
      <c r="A34" s="213" t="s">
        <v>74</v>
      </c>
      <c r="B34" s="214">
        <v>10417</v>
      </c>
      <c r="C34" s="214">
        <v>10417</v>
      </c>
      <c r="D34" s="214">
        <v>10417</v>
      </c>
      <c r="E34" s="214">
        <v>10417</v>
      </c>
      <c r="F34" s="214">
        <v>10417</v>
      </c>
      <c r="G34" s="214">
        <v>10417</v>
      </c>
      <c r="H34" s="214">
        <v>10417</v>
      </c>
      <c r="I34" s="214">
        <v>10417</v>
      </c>
      <c r="J34" s="214">
        <v>10417</v>
      </c>
      <c r="K34" s="214">
        <v>10417</v>
      </c>
      <c r="L34" s="214">
        <v>10417</v>
      </c>
      <c r="M34" s="214">
        <v>10417</v>
      </c>
      <c r="N34" s="215">
        <v>125004</v>
      </c>
      <c r="O34" s="125"/>
    </row>
    <row r="35" spans="1:15" ht="15" x14ac:dyDescent="0.25">
      <c r="A35" s="213" t="s">
        <v>157</v>
      </c>
      <c r="B35" s="214">
        <v>33333.5</v>
      </c>
      <c r="C35" s="214">
        <v>33333.5</v>
      </c>
      <c r="D35" s="214">
        <v>33333.5</v>
      </c>
      <c r="E35" s="214">
        <v>33333.5</v>
      </c>
      <c r="F35" s="214">
        <v>33333.5</v>
      </c>
      <c r="G35" s="214">
        <v>33333.5</v>
      </c>
      <c r="H35" s="214">
        <v>33333.5</v>
      </c>
      <c r="I35" s="214">
        <v>33333.5</v>
      </c>
      <c r="J35" s="214">
        <v>33333.5</v>
      </c>
      <c r="K35" s="214">
        <v>33333.5</v>
      </c>
      <c r="L35" s="214">
        <v>33333.5</v>
      </c>
      <c r="M35" s="214">
        <v>33333.5</v>
      </c>
      <c r="N35" s="215">
        <v>400002</v>
      </c>
      <c r="O35" s="125"/>
    </row>
    <row r="36" spans="1:15" ht="15" x14ac:dyDescent="0.25">
      <c r="A36" s="213" t="s">
        <v>82</v>
      </c>
      <c r="B36" s="214">
        <v>24375</v>
      </c>
      <c r="C36" s="214">
        <v>24375</v>
      </c>
      <c r="D36" s="214">
        <v>24375</v>
      </c>
      <c r="E36" s="214">
        <v>24375</v>
      </c>
      <c r="F36" s="214">
        <v>24375</v>
      </c>
      <c r="G36" s="214">
        <v>24375</v>
      </c>
      <c r="H36" s="214">
        <v>24375</v>
      </c>
      <c r="I36" s="214">
        <v>24375</v>
      </c>
      <c r="J36" s="214">
        <v>24375</v>
      </c>
      <c r="K36" s="214">
        <v>24375</v>
      </c>
      <c r="L36" s="214">
        <v>24375</v>
      </c>
      <c r="M36" s="214">
        <v>24375</v>
      </c>
      <c r="N36" s="215">
        <v>292500</v>
      </c>
      <c r="O36" s="125"/>
    </row>
    <row r="37" spans="1:15" ht="15" x14ac:dyDescent="0.25">
      <c r="A37" s="213" t="s">
        <v>158</v>
      </c>
      <c r="B37" s="214">
        <v>18125</v>
      </c>
      <c r="C37" s="214">
        <v>18125</v>
      </c>
      <c r="D37" s="214">
        <v>18125</v>
      </c>
      <c r="E37" s="214">
        <v>18125</v>
      </c>
      <c r="F37" s="214">
        <v>18125</v>
      </c>
      <c r="G37" s="214">
        <v>18125</v>
      </c>
      <c r="H37" s="214">
        <v>18125</v>
      </c>
      <c r="I37" s="214">
        <v>18125</v>
      </c>
      <c r="J37" s="214">
        <v>18125</v>
      </c>
      <c r="K37" s="214">
        <v>18125</v>
      </c>
      <c r="L37" s="214">
        <v>18125</v>
      </c>
      <c r="M37" s="214">
        <v>18125</v>
      </c>
      <c r="N37" s="215">
        <v>217500</v>
      </c>
      <c r="O37" s="125"/>
    </row>
    <row r="38" spans="1:15" ht="15" x14ac:dyDescent="0.25">
      <c r="A38" s="213" t="s">
        <v>159</v>
      </c>
      <c r="B38" s="214">
        <v>2501</v>
      </c>
      <c r="C38" s="214">
        <v>2501</v>
      </c>
      <c r="D38" s="214">
        <v>2501</v>
      </c>
      <c r="E38" s="214">
        <v>2501</v>
      </c>
      <c r="F38" s="214">
        <v>2501</v>
      </c>
      <c r="G38" s="214">
        <v>2501</v>
      </c>
      <c r="H38" s="214">
        <v>2501</v>
      </c>
      <c r="I38" s="214">
        <v>2501</v>
      </c>
      <c r="J38" s="214">
        <v>2501</v>
      </c>
      <c r="K38" s="214">
        <v>2501</v>
      </c>
      <c r="L38" s="214">
        <v>2501</v>
      </c>
      <c r="M38" s="214">
        <v>2513</v>
      </c>
      <c r="N38" s="215">
        <v>30024</v>
      </c>
      <c r="O38" s="125"/>
    </row>
    <row r="39" spans="1:15" ht="15" x14ac:dyDescent="0.25">
      <c r="A39" s="213" t="s">
        <v>160</v>
      </c>
      <c r="B39" s="214">
        <v>1496.5</v>
      </c>
      <c r="C39" s="214">
        <v>1496.5</v>
      </c>
      <c r="D39" s="214">
        <v>1496.5</v>
      </c>
      <c r="E39" s="214">
        <v>1496.5</v>
      </c>
      <c r="F39" s="214">
        <v>1496.5</v>
      </c>
      <c r="G39" s="214">
        <v>1496.5</v>
      </c>
      <c r="H39" s="214">
        <v>1496.5</v>
      </c>
      <c r="I39" s="214">
        <v>1496.5</v>
      </c>
      <c r="J39" s="214">
        <v>1496.5</v>
      </c>
      <c r="K39" s="214">
        <v>1496.5</v>
      </c>
      <c r="L39" s="214">
        <v>1496.5</v>
      </c>
      <c r="M39" s="214">
        <v>1503.5</v>
      </c>
      <c r="N39" s="215">
        <v>17965</v>
      </c>
      <c r="O39" s="125"/>
    </row>
    <row r="40" spans="1:15" ht="15" x14ac:dyDescent="0.25">
      <c r="A40" s="213" t="s">
        <v>161</v>
      </c>
      <c r="B40" s="214">
        <v>304.5</v>
      </c>
      <c r="C40" s="214">
        <v>304.5</v>
      </c>
      <c r="D40" s="214">
        <v>304.5</v>
      </c>
      <c r="E40" s="214">
        <v>304.5</v>
      </c>
      <c r="F40" s="214">
        <v>304.5</v>
      </c>
      <c r="G40" s="214">
        <v>304.5</v>
      </c>
      <c r="H40" s="214">
        <v>304.5</v>
      </c>
      <c r="I40" s="214">
        <v>304.5</v>
      </c>
      <c r="J40" s="214">
        <v>304.5</v>
      </c>
      <c r="K40" s="214">
        <v>304.5</v>
      </c>
      <c r="L40" s="214">
        <v>304.5</v>
      </c>
      <c r="M40" s="214">
        <v>304.5</v>
      </c>
      <c r="N40" s="215">
        <v>3654</v>
      </c>
      <c r="O40" s="125"/>
    </row>
    <row r="41" spans="1:15" s="77" customFormat="1" ht="15" x14ac:dyDescent="0.25">
      <c r="A41" s="213" t="s">
        <v>162</v>
      </c>
      <c r="B41" s="214">
        <v>10667.5</v>
      </c>
      <c r="C41" s="214">
        <v>10667.5</v>
      </c>
      <c r="D41" s="214">
        <v>10667.5</v>
      </c>
      <c r="E41" s="214">
        <v>10667.5</v>
      </c>
      <c r="F41" s="214">
        <v>10667.5</v>
      </c>
      <c r="G41" s="214">
        <v>10667.5</v>
      </c>
      <c r="H41" s="214">
        <v>10667.5</v>
      </c>
      <c r="I41" s="214">
        <v>10667.5</v>
      </c>
      <c r="J41" s="214">
        <v>10667.5</v>
      </c>
      <c r="K41" s="214">
        <v>10667.5</v>
      </c>
      <c r="L41" s="214">
        <v>10667.5</v>
      </c>
      <c r="M41" s="214">
        <v>10718.5</v>
      </c>
      <c r="N41" s="215">
        <v>128061</v>
      </c>
      <c r="O41" s="125"/>
    </row>
    <row r="42" spans="1:15" s="193" customFormat="1" ht="15" x14ac:dyDescent="0.25">
      <c r="A42" s="213" t="s">
        <v>163</v>
      </c>
      <c r="B42" s="214">
        <v>45675.5</v>
      </c>
      <c r="C42" s="214">
        <v>0</v>
      </c>
      <c r="D42" s="214">
        <v>0</v>
      </c>
      <c r="E42" s="214">
        <v>0</v>
      </c>
      <c r="F42" s="214">
        <v>0</v>
      </c>
      <c r="G42" s="214">
        <v>0</v>
      </c>
      <c r="H42" s="214">
        <v>0</v>
      </c>
      <c r="I42" s="214">
        <v>0</v>
      </c>
      <c r="J42" s="214">
        <v>0</v>
      </c>
      <c r="K42" s="214">
        <v>0</v>
      </c>
      <c r="L42" s="214">
        <v>0</v>
      </c>
      <c r="M42" s="214">
        <v>0</v>
      </c>
      <c r="N42" s="215">
        <v>45675.5</v>
      </c>
      <c r="O42" s="192"/>
    </row>
    <row r="43" spans="1:15" ht="15" x14ac:dyDescent="0.25">
      <c r="A43" s="221" t="s">
        <v>151</v>
      </c>
      <c r="B43" s="222">
        <v>706431.5</v>
      </c>
      <c r="C43" s="222">
        <v>660756</v>
      </c>
      <c r="D43" s="222">
        <v>660756</v>
      </c>
      <c r="E43" s="222">
        <v>660756</v>
      </c>
      <c r="F43" s="222">
        <v>660756</v>
      </c>
      <c r="G43" s="222">
        <v>660756</v>
      </c>
      <c r="H43" s="222">
        <v>660756</v>
      </c>
      <c r="I43" s="222">
        <v>660756</v>
      </c>
      <c r="J43" s="222">
        <v>660756</v>
      </c>
      <c r="K43" s="222">
        <v>660756</v>
      </c>
      <c r="L43" s="222">
        <v>660756</v>
      </c>
      <c r="M43" s="222">
        <v>660826</v>
      </c>
      <c r="N43" s="223">
        <v>7974817.5</v>
      </c>
    </row>
    <row r="44" spans="1:15" s="77" customFormat="1" ht="15" x14ac:dyDescent="0.25"/>
    <row r="45" spans="1:15" ht="19.5" customHeight="1" thickBot="1" x14ac:dyDescent="0.35">
      <c r="A45" s="406" t="s">
        <v>205</v>
      </c>
      <c r="B45" s="406"/>
      <c r="C45" s="406"/>
      <c r="D45" s="406"/>
      <c r="E45" s="406"/>
      <c r="F45" s="406"/>
      <c r="G45" s="406"/>
      <c r="H45" s="406"/>
      <c r="I45" s="406"/>
      <c r="J45" s="406"/>
      <c r="K45" s="406"/>
      <c r="L45" s="406"/>
      <c r="M45" s="406"/>
      <c r="N45" s="406"/>
    </row>
    <row r="46" spans="1:15" ht="15.75" thickTop="1" x14ac:dyDescent="0.25">
      <c r="A46" s="127"/>
      <c r="B46" s="128" t="s">
        <v>138</v>
      </c>
      <c r="C46" s="128" t="s">
        <v>139</v>
      </c>
      <c r="D46" s="128" t="s">
        <v>140</v>
      </c>
      <c r="E46" s="128" t="s">
        <v>141</v>
      </c>
      <c r="F46" s="128" t="s">
        <v>142</v>
      </c>
      <c r="G46" s="128" t="s">
        <v>143</v>
      </c>
      <c r="H46" s="128" t="s">
        <v>144</v>
      </c>
      <c r="I46" s="128" t="s">
        <v>145</v>
      </c>
      <c r="J46" s="128" t="s">
        <v>146</v>
      </c>
      <c r="K46" s="128" t="s">
        <v>147</v>
      </c>
      <c r="L46" s="128" t="s">
        <v>148</v>
      </c>
      <c r="M46" s="128" t="s">
        <v>149</v>
      </c>
      <c r="N46" s="128" t="s">
        <v>151</v>
      </c>
    </row>
    <row r="47" spans="1:15" ht="15" x14ac:dyDescent="0.25">
      <c r="A47" s="130" t="s">
        <v>164</v>
      </c>
      <c r="B47" s="131"/>
      <c r="C47" s="129"/>
      <c r="D47" s="129"/>
      <c r="E47" s="129"/>
      <c r="F47" s="129"/>
      <c r="G47" s="129"/>
      <c r="H47" s="129"/>
      <c r="I47" s="129"/>
      <c r="J47" s="129"/>
      <c r="K47" s="129"/>
      <c r="L47" s="129"/>
      <c r="M47" s="129"/>
      <c r="N47" s="129"/>
    </row>
    <row r="48" spans="1:15" ht="15" hidden="1" x14ac:dyDescent="0.25">
      <c r="A48" s="225" t="s">
        <v>169</v>
      </c>
      <c r="B48" s="224" t="s">
        <v>170</v>
      </c>
      <c r="C48" s="224" t="s">
        <v>171</v>
      </c>
      <c r="D48" s="224" t="s">
        <v>172</v>
      </c>
      <c r="E48" s="224" t="s">
        <v>173</v>
      </c>
      <c r="F48" s="224" t="s">
        <v>174</v>
      </c>
      <c r="G48" s="224" t="s">
        <v>175</v>
      </c>
      <c r="H48" s="224" t="s">
        <v>176</v>
      </c>
      <c r="I48" s="224" t="s">
        <v>177</v>
      </c>
      <c r="J48" s="224" t="s">
        <v>178</v>
      </c>
      <c r="K48" s="224" t="s">
        <v>179</v>
      </c>
      <c r="L48" s="224" t="s">
        <v>180</v>
      </c>
      <c r="M48" s="224" t="s">
        <v>181</v>
      </c>
      <c r="N48" s="226" t="s">
        <v>182</v>
      </c>
    </row>
    <row r="49" spans="1:14" ht="15" x14ac:dyDescent="0.25">
      <c r="A49" s="225" t="s">
        <v>54</v>
      </c>
      <c r="B49" s="224">
        <v>472.5</v>
      </c>
      <c r="C49" s="224">
        <v>472.5</v>
      </c>
      <c r="D49" s="224">
        <v>472.5</v>
      </c>
      <c r="E49" s="224">
        <v>472.5</v>
      </c>
      <c r="F49" s="224">
        <v>472.5</v>
      </c>
      <c r="G49" s="224">
        <v>472.5</v>
      </c>
      <c r="H49" s="224">
        <v>472.5</v>
      </c>
      <c r="I49" s="224">
        <v>472.5</v>
      </c>
      <c r="J49" s="224">
        <v>472.5</v>
      </c>
      <c r="K49" s="224">
        <v>472.5</v>
      </c>
      <c r="L49" s="224">
        <v>472.5</v>
      </c>
      <c r="M49" s="224">
        <v>472.5</v>
      </c>
      <c r="N49" s="226">
        <v>5670</v>
      </c>
    </row>
    <row r="50" spans="1:14" ht="15" x14ac:dyDescent="0.25">
      <c r="A50" s="213" t="s">
        <v>55</v>
      </c>
      <c r="B50" s="224">
        <v>144</v>
      </c>
      <c r="C50" s="224">
        <v>144</v>
      </c>
      <c r="D50" s="224">
        <v>144</v>
      </c>
      <c r="E50" s="224">
        <v>144</v>
      </c>
      <c r="F50" s="224">
        <v>144</v>
      </c>
      <c r="G50" s="224">
        <v>144</v>
      </c>
      <c r="H50" s="224">
        <v>144</v>
      </c>
      <c r="I50" s="224">
        <v>144</v>
      </c>
      <c r="J50" s="224">
        <v>144</v>
      </c>
      <c r="K50" s="224">
        <v>144</v>
      </c>
      <c r="L50" s="224">
        <v>144</v>
      </c>
      <c r="M50" s="224">
        <v>144</v>
      </c>
      <c r="N50" s="226">
        <v>1728</v>
      </c>
    </row>
    <row r="51" spans="1:14" ht="15" x14ac:dyDescent="0.25">
      <c r="A51" s="213" t="s">
        <v>56</v>
      </c>
      <c r="B51" s="224">
        <v>14</v>
      </c>
      <c r="C51" s="224">
        <v>14</v>
      </c>
      <c r="D51" s="224">
        <v>14</v>
      </c>
      <c r="E51" s="224">
        <v>14</v>
      </c>
      <c r="F51" s="224">
        <v>14</v>
      </c>
      <c r="G51" s="224">
        <v>14</v>
      </c>
      <c r="H51" s="224">
        <v>14</v>
      </c>
      <c r="I51" s="224">
        <v>14</v>
      </c>
      <c r="J51" s="224">
        <v>14</v>
      </c>
      <c r="K51" s="224">
        <v>14</v>
      </c>
      <c r="L51" s="224">
        <v>14</v>
      </c>
      <c r="M51" s="224">
        <v>14</v>
      </c>
      <c r="N51" s="226">
        <v>168</v>
      </c>
    </row>
    <row r="52" spans="1:14" ht="15" x14ac:dyDescent="0.25">
      <c r="A52" s="213" t="s">
        <v>57</v>
      </c>
      <c r="B52" s="224">
        <v>15</v>
      </c>
      <c r="C52" s="224">
        <v>15</v>
      </c>
      <c r="D52" s="224">
        <v>15</v>
      </c>
      <c r="E52" s="224">
        <v>15</v>
      </c>
      <c r="F52" s="224">
        <v>15</v>
      </c>
      <c r="G52" s="224">
        <v>15</v>
      </c>
      <c r="H52" s="224">
        <v>15</v>
      </c>
      <c r="I52" s="224">
        <v>15</v>
      </c>
      <c r="J52" s="224">
        <v>15</v>
      </c>
      <c r="K52" s="224">
        <v>15</v>
      </c>
      <c r="L52" s="224">
        <v>15</v>
      </c>
      <c r="M52" s="224">
        <v>15</v>
      </c>
      <c r="N52" s="226">
        <v>180</v>
      </c>
    </row>
    <row r="53" spans="1:14" ht="15" x14ac:dyDescent="0.25">
      <c r="A53" s="213" t="s">
        <v>58</v>
      </c>
      <c r="B53" s="224">
        <v>1265</v>
      </c>
      <c r="C53" s="224">
        <v>1265</v>
      </c>
      <c r="D53" s="224">
        <v>1265</v>
      </c>
      <c r="E53" s="224">
        <v>1265</v>
      </c>
      <c r="F53" s="224">
        <v>1265</v>
      </c>
      <c r="G53" s="224">
        <v>1265</v>
      </c>
      <c r="H53" s="224">
        <v>1265</v>
      </c>
      <c r="I53" s="224">
        <v>1265</v>
      </c>
      <c r="J53" s="224">
        <v>1265</v>
      </c>
      <c r="K53" s="224">
        <v>1265</v>
      </c>
      <c r="L53" s="224">
        <v>1265</v>
      </c>
      <c r="M53" s="224">
        <v>1265</v>
      </c>
      <c r="N53" s="226">
        <v>15180</v>
      </c>
    </row>
    <row r="54" spans="1:14" ht="15" x14ac:dyDescent="0.25">
      <c r="A54" s="213" t="s">
        <v>59</v>
      </c>
      <c r="B54" s="224">
        <v>89</v>
      </c>
      <c r="C54" s="224">
        <v>89</v>
      </c>
      <c r="D54" s="224">
        <v>89</v>
      </c>
      <c r="E54" s="224">
        <v>89</v>
      </c>
      <c r="F54" s="224">
        <v>89</v>
      </c>
      <c r="G54" s="224">
        <v>89</v>
      </c>
      <c r="H54" s="224">
        <v>89</v>
      </c>
      <c r="I54" s="224">
        <v>89</v>
      </c>
      <c r="J54" s="224">
        <v>89</v>
      </c>
      <c r="K54" s="224">
        <v>89</v>
      </c>
      <c r="L54" s="224">
        <v>89</v>
      </c>
      <c r="M54" s="224">
        <v>89</v>
      </c>
      <c r="N54" s="226">
        <v>1068</v>
      </c>
    </row>
    <row r="55" spans="1:14" ht="15" x14ac:dyDescent="0.25">
      <c r="A55" s="213" t="s">
        <v>60</v>
      </c>
      <c r="B55" s="224">
        <v>338</v>
      </c>
      <c r="C55" s="224">
        <v>338</v>
      </c>
      <c r="D55" s="224">
        <v>338</v>
      </c>
      <c r="E55" s="224">
        <v>338</v>
      </c>
      <c r="F55" s="224">
        <v>338</v>
      </c>
      <c r="G55" s="224">
        <v>338</v>
      </c>
      <c r="H55" s="224">
        <v>338</v>
      </c>
      <c r="I55" s="224">
        <v>338</v>
      </c>
      <c r="J55" s="224">
        <v>338</v>
      </c>
      <c r="K55" s="224">
        <v>338</v>
      </c>
      <c r="L55" s="224">
        <v>338</v>
      </c>
      <c r="M55" s="224">
        <v>338</v>
      </c>
      <c r="N55" s="226">
        <v>4056</v>
      </c>
    </row>
    <row r="56" spans="1:14" ht="15" x14ac:dyDescent="0.25">
      <c r="A56" s="213" t="s">
        <v>61</v>
      </c>
      <c r="B56" s="224">
        <v>0</v>
      </c>
      <c r="C56" s="224">
        <v>0</v>
      </c>
      <c r="D56" s="224">
        <v>0</v>
      </c>
      <c r="E56" s="224">
        <v>0</v>
      </c>
      <c r="F56" s="224">
        <v>0</v>
      </c>
      <c r="G56" s="224">
        <v>0</v>
      </c>
      <c r="H56" s="224">
        <v>0</v>
      </c>
      <c r="I56" s="224">
        <v>0</v>
      </c>
      <c r="J56" s="224">
        <v>0</v>
      </c>
      <c r="K56" s="224">
        <v>0</v>
      </c>
      <c r="L56" s="224">
        <v>0</v>
      </c>
      <c r="M56" s="224">
        <v>0</v>
      </c>
      <c r="N56" s="226">
        <v>0</v>
      </c>
    </row>
    <row r="57" spans="1:14" ht="15" x14ac:dyDescent="0.25">
      <c r="A57" s="213" t="s">
        <v>62</v>
      </c>
      <c r="B57" s="224">
        <v>87.5</v>
      </c>
      <c r="C57" s="224">
        <v>87.5</v>
      </c>
      <c r="D57" s="224">
        <v>87.5</v>
      </c>
      <c r="E57" s="224">
        <v>87.5</v>
      </c>
      <c r="F57" s="224">
        <v>87.5</v>
      </c>
      <c r="G57" s="224">
        <v>87.5</v>
      </c>
      <c r="H57" s="224">
        <v>87.5</v>
      </c>
      <c r="I57" s="224">
        <v>87.5</v>
      </c>
      <c r="J57" s="224">
        <v>87.5</v>
      </c>
      <c r="K57" s="224">
        <v>87.5</v>
      </c>
      <c r="L57" s="224">
        <v>87.5</v>
      </c>
      <c r="M57" s="224">
        <v>87.5</v>
      </c>
      <c r="N57" s="226">
        <v>1050</v>
      </c>
    </row>
    <row r="58" spans="1:14" ht="15" x14ac:dyDescent="0.25">
      <c r="A58" s="213" t="s">
        <v>63</v>
      </c>
      <c r="B58" s="224">
        <v>170.5</v>
      </c>
      <c r="C58" s="224">
        <v>170.5</v>
      </c>
      <c r="D58" s="224">
        <v>170.5</v>
      </c>
      <c r="E58" s="224">
        <v>170.5</v>
      </c>
      <c r="F58" s="224">
        <v>170.5</v>
      </c>
      <c r="G58" s="224">
        <v>170.5</v>
      </c>
      <c r="H58" s="224">
        <v>170.5</v>
      </c>
      <c r="I58" s="224">
        <v>170.5</v>
      </c>
      <c r="J58" s="224">
        <v>170.5</v>
      </c>
      <c r="K58" s="224">
        <v>170.5</v>
      </c>
      <c r="L58" s="224">
        <v>170.5</v>
      </c>
      <c r="M58" s="224">
        <v>170.5</v>
      </c>
      <c r="N58" s="226">
        <v>2046</v>
      </c>
    </row>
    <row r="59" spans="1:14" ht="15" x14ac:dyDescent="0.25">
      <c r="A59" s="213" t="s">
        <v>64</v>
      </c>
      <c r="B59" s="224">
        <v>169.5</v>
      </c>
      <c r="C59" s="224">
        <v>169.5</v>
      </c>
      <c r="D59" s="224">
        <v>169.5</v>
      </c>
      <c r="E59" s="224">
        <v>169.5</v>
      </c>
      <c r="F59" s="224">
        <v>169.5</v>
      </c>
      <c r="G59" s="224">
        <v>169.5</v>
      </c>
      <c r="H59" s="224">
        <v>169.5</v>
      </c>
      <c r="I59" s="224">
        <v>169.5</v>
      </c>
      <c r="J59" s="224">
        <v>169.5</v>
      </c>
      <c r="K59" s="224">
        <v>169.5</v>
      </c>
      <c r="L59" s="224">
        <v>169.5</v>
      </c>
      <c r="M59" s="224">
        <v>169.5</v>
      </c>
      <c r="N59" s="226">
        <v>2034</v>
      </c>
    </row>
    <row r="60" spans="1:14" ht="15" x14ac:dyDescent="0.25">
      <c r="A60" s="213" t="s">
        <v>65</v>
      </c>
      <c r="B60" s="224">
        <v>62.5</v>
      </c>
      <c r="C60" s="224">
        <v>62.5</v>
      </c>
      <c r="D60" s="224">
        <v>62.5</v>
      </c>
      <c r="E60" s="224">
        <v>62.5</v>
      </c>
      <c r="F60" s="224">
        <v>62.5</v>
      </c>
      <c r="G60" s="224">
        <v>62.5</v>
      </c>
      <c r="H60" s="224">
        <v>62.5</v>
      </c>
      <c r="I60" s="224">
        <v>62.5</v>
      </c>
      <c r="J60" s="224">
        <v>62.5</v>
      </c>
      <c r="K60" s="224">
        <v>62.5</v>
      </c>
      <c r="L60" s="224">
        <v>62.5</v>
      </c>
      <c r="M60" s="224">
        <v>62.5</v>
      </c>
      <c r="N60" s="226">
        <v>750</v>
      </c>
    </row>
    <row r="61" spans="1:14" ht="15" x14ac:dyDescent="0.25">
      <c r="A61" s="213" t="s">
        <v>66</v>
      </c>
      <c r="B61" s="224">
        <v>3.5</v>
      </c>
      <c r="C61" s="224">
        <v>3.5</v>
      </c>
      <c r="D61" s="224">
        <v>3.5</v>
      </c>
      <c r="E61" s="224">
        <v>3.5</v>
      </c>
      <c r="F61" s="224">
        <v>3.5</v>
      </c>
      <c r="G61" s="224">
        <v>3.5</v>
      </c>
      <c r="H61" s="224">
        <v>3.5</v>
      </c>
      <c r="I61" s="224">
        <v>3.5</v>
      </c>
      <c r="J61" s="224">
        <v>3.5</v>
      </c>
      <c r="K61" s="224">
        <v>3.5</v>
      </c>
      <c r="L61" s="224">
        <v>3.5</v>
      </c>
      <c r="M61" s="224">
        <v>3.5</v>
      </c>
      <c r="N61" s="226">
        <v>42</v>
      </c>
    </row>
    <row r="62" spans="1:14" ht="15" x14ac:dyDescent="0.25">
      <c r="A62" s="213" t="s">
        <v>67</v>
      </c>
      <c r="B62" s="224">
        <v>36</v>
      </c>
      <c r="C62" s="224">
        <v>36</v>
      </c>
      <c r="D62" s="224">
        <v>36</v>
      </c>
      <c r="E62" s="224">
        <v>36</v>
      </c>
      <c r="F62" s="224">
        <v>36</v>
      </c>
      <c r="G62" s="224">
        <v>36</v>
      </c>
      <c r="H62" s="224">
        <v>36</v>
      </c>
      <c r="I62" s="224">
        <v>36</v>
      </c>
      <c r="J62" s="224">
        <v>36</v>
      </c>
      <c r="K62" s="224">
        <v>36</v>
      </c>
      <c r="L62" s="224">
        <v>36</v>
      </c>
      <c r="M62" s="224">
        <v>36</v>
      </c>
      <c r="N62" s="226">
        <v>432</v>
      </c>
    </row>
    <row r="63" spans="1:14" ht="15" x14ac:dyDescent="0.25">
      <c r="A63" s="213" t="s">
        <v>68</v>
      </c>
      <c r="B63" s="224">
        <v>1</v>
      </c>
      <c r="C63" s="224">
        <v>1</v>
      </c>
      <c r="D63" s="224">
        <v>1</v>
      </c>
      <c r="E63" s="224">
        <v>1</v>
      </c>
      <c r="F63" s="224">
        <v>1</v>
      </c>
      <c r="G63" s="224">
        <v>1</v>
      </c>
      <c r="H63" s="224">
        <v>1</v>
      </c>
      <c r="I63" s="224">
        <v>1</v>
      </c>
      <c r="J63" s="224">
        <v>1</v>
      </c>
      <c r="K63" s="224">
        <v>1</v>
      </c>
      <c r="L63" s="224">
        <v>1</v>
      </c>
      <c r="M63" s="224">
        <v>1</v>
      </c>
      <c r="N63" s="226">
        <v>12</v>
      </c>
    </row>
    <row r="64" spans="1:14" ht="15" x14ac:dyDescent="0.25">
      <c r="A64" s="227" t="s">
        <v>69</v>
      </c>
      <c r="B64" s="228">
        <v>2</v>
      </c>
      <c r="C64" s="228">
        <v>2</v>
      </c>
      <c r="D64" s="228">
        <v>2</v>
      </c>
      <c r="E64" s="228">
        <v>2</v>
      </c>
      <c r="F64" s="228">
        <v>2</v>
      </c>
      <c r="G64" s="228">
        <v>2</v>
      </c>
      <c r="H64" s="228">
        <v>2</v>
      </c>
      <c r="I64" s="228">
        <v>2</v>
      </c>
      <c r="J64" s="228">
        <v>2</v>
      </c>
      <c r="K64" s="228">
        <v>2</v>
      </c>
      <c r="L64" s="228">
        <v>2</v>
      </c>
      <c r="M64" s="228">
        <v>2</v>
      </c>
      <c r="N64" s="229">
        <v>24</v>
      </c>
    </row>
    <row r="65" spans="1:18" ht="15" x14ac:dyDescent="0.25">
      <c r="A65" s="355"/>
      <c r="B65" s="355"/>
      <c r="C65" s="355"/>
      <c r="D65" s="355"/>
      <c r="E65" s="355"/>
      <c r="F65" s="355"/>
      <c r="G65" s="355"/>
      <c r="H65" s="355"/>
      <c r="I65" s="355"/>
      <c r="J65" s="355"/>
      <c r="K65" s="355"/>
      <c r="L65" s="355"/>
      <c r="M65" s="355"/>
      <c r="N65" s="355"/>
    </row>
    <row r="66" spans="1:18" s="354" customFormat="1" ht="15" x14ac:dyDescent="0.25">
      <c r="A66" s="355" t="s">
        <v>239</v>
      </c>
      <c r="B66" s="355"/>
      <c r="C66" s="355"/>
      <c r="D66" s="355"/>
      <c r="E66" s="355"/>
      <c r="F66" s="355"/>
      <c r="G66" s="355"/>
      <c r="H66" s="355"/>
      <c r="I66" s="355"/>
      <c r="J66" s="355"/>
      <c r="K66" s="355"/>
      <c r="L66" s="355"/>
      <c r="M66" s="355"/>
      <c r="N66" s="355"/>
      <c r="O66" s="355"/>
      <c r="P66" s="355"/>
      <c r="Q66" s="355"/>
      <c r="R66" s="355"/>
    </row>
    <row r="67" spans="1:18" s="393" customFormat="1" ht="12.75" x14ac:dyDescent="0.2">
      <c r="A67" s="357" t="s">
        <v>240</v>
      </c>
      <c r="B67" s="357"/>
      <c r="C67" s="357"/>
      <c r="D67" s="357"/>
      <c r="E67" s="357"/>
      <c r="F67" s="357"/>
      <c r="G67" s="357"/>
      <c r="H67" s="357"/>
      <c r="I67" s="357"/>
      <c r="J67" s="357"/>
      <c r="K67" s="357"/>
      <c r="L67" s="357"/>
      <c r="M67" s="357"/>
      <c r="N67" s="357"/>
      <c r="O67" s="357"/>
      <c r="P67" s="357"/>
      <c r="Q67" s="357"/>
      <c r="R67" s="357"/>
    </row>
  </sheetData>
  <mergeCells count="2">
    <mergeCell ref="A1:N1"/>
    <mergeCell ref="A45:N45"/>
  </mergeCells>
  <hyperlinks>
    <hyperlink ref="A67:IV67" r:id="rId1" display="http://www.cals.uidaho.edu/aers/LivestockEBB2010/EBBD5105000.xlsx"/>
    <hyperlink ref="A67" r:id="rId2"/>
  </hyperlinks>
  <printOptions horizontalCentered="1"/>
  <pageMargins left="0.7" right="0.7" top="0.75" bottom="0.75" header="0.3" footer="0.3"/>
  <pageSetup scale="81" fitToHeight="2" orientation="landscape" r:id="rId3"/>
  <rowBreaks count="1" manualBreakCount="1">
    <brk id="43" max="13" man="1"/>
  </rowBreaks>
  <tableParts count="2">
    <tablePart r:id="rId4"/>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6"/>
  <sheetViews>
    <sheetView zoomScaleNormal="100" workbookViewId="0">
      <selection activeCell="G46" sqref="G46"/>
    </sheetView>
  </sheetViews>
  <sheetFormatPr defaultRowHeight="14.4" x14ac:dyDescent="0.3"/>
  <cols>
    <col min="1" max="1" width="31.33203125" customWidth="1"/>
    <col min="2" max="2" width="2" customWidth="1"/>
    <col min="3" max="3" width="13.88671875" customWidth="1"/>
    <col min="4" max="4" width="1.109375" style="97" customWidth="1"/>
    <col min="5" max="5" width="9.5546875" customWidth="1"/>
    <col min="6" max="6" width="1.5546875" customWidth="1"/>
    <col min="7" max="7" width="12.109375" style="97" customWidth="1"/>
    <col min="8" max="8" width="1.6640625" style="126" customWidth="1"/>
    <col min="9" max="9" width="15.6640625" customWidth="1"/>
    <col min="10" max="10" width="1.5546875" customWidth="1"/>
    <col min="11" max="11" width="8.109375" style="389" customWidth="1"/>
    <col min="12" max="12" width="13.88671875" style="351" customWidth="1"/>
    <col min="13" max="13" width="10.88671875" style="39" customWidth="1"/>
    <col min="14" max="14" width="10.33203125" customWidth="1"/>
    <col min="15" max="15" width="10.6640625" style="255" customWidth="1"/>
    <col min="16" max="16" width="14" customWidth="1"/>
    <col min="17" max="17" width="1.88671875" customWidth="1"/>
  </cols>
  <sheetData>
    <row r="1" spans="1:17" ht="26.25" customHeight="1" x14ac:dyDescent="0.3">
      <c r="A1" s="407" t="s">
        <v>207</v>
      </c>
      <c r="B1" s="407"/>
      <c r="C1" s="407"/>
      <c r="D1" s="407"/>
      <c r="E1" s="407"/>
      <c r="F1" s="407"/>
      <c r="G1" s="407"/>
      <c r="H1" s="407"/>
      <c r="I1" s="407"/>
      <c r="J1" s="407"/>
      <c r="K1" s="407"/>
      <c r="L1" s="407"/>
      <c r="M1" s="407"/>
      <c r="N1" s="407"/>
      <c r="O1" s="407"/>
      <c r="P1" s="407"/>
      <c r="Q1" s="407"/>
    </row>
    <row r="2" spans="1:17" s="176" customFormat="1" ht="15.75" x14ac:dyDescent="0.25">
      <c r="A2" s="359"/>
      <c r="B2" s="359"/>
      <c r="C2" s="358" t="s">
        <v>0</v>
      </c>
      <c r="D2" s="358"/>
      <c r="E2" s="360"/>
      <c r="F2" s="358"/>
      <c r="G2" s="358" t="s">
        <v>1</v>
      </c>
      <c r="H2" s="358"/>
      <c r="I2" s="361" t="s">
        <v>2</v>
      </c>
      <c r="J2" s="371"/>
      <c r="K2" s="381" t="s">
        <v>109</v>
      </c>
      <c r="L2" s="342" t="s">
        <v>112</v>
      </c>
      <c r="M2" s="300" t="s">
        <v>112</v>
      </c>
      <c r="N2" s="182" t="s">
        <v>108</v>
      </c>
      <c r="O2" s="372" t="s">
        <v>102</v>
      </c>
      <c r="P2" s="373" t="s">
        <v>102</v>
      </c>
      <c r="Q2" s="200"/>
    </row>
    <row r="3" spans="1:17" s="176" customFormat="1" ht="14.4" customHeight="1" x14ac:dyDescent="0.25">
      <c r="A3" s="177" t="s">
        <v>3</v>
      </c>
      <c r="B3" s="178"/>
      <c r="C3" s="177" t="s">
        <v>137</v>
      </c>
      <c r="D3" s="177"/>
      <c r="E3" s="179" t="s">
        <v>4</v>
      </c>
      <c r="F3" s="177"/>
      <c r="G3" s="177" t="s">
        <v>5</v>
      </c>
      <c r="H3" s="177"/>
      <c r="I3" s="180" t="s">
        <v>5</v>
      </c>
      <c r="J3" s="181"/>
      <c r="K3" s="381" t="s">
        <v>110</v>
      </c>
      <c r="L3" s="342" t="s">
        <v>105</v>
      </c>
      <c r="M3" s="300" t="s">
        <v>105</v>
      </c>
      <c r="N3" s="182" t="s">
        <v>107</v>
      </c>
      <c r="O3" s="249" t="s">
        <v>103</v>
      </c>
      <c r="P3" s="200" t="s">
        <v>103</v>
      </c>
      <c r="Q3" s="200"/>
    </row>
    <row r="4" spans="1:17" s="176" customFormat="1" ht="15.75" x14ac:dyDescent="0.25">
      <c r="A4" s="183"/>
      <c r="B4" s="184"/>
      <c r="C4" s="183"/>
      <c r="D4" s="184"/>
      <c r="E4" s="185"/>
      <c r="F4" s="184"/>
      <c r="G4" s="184"/>
      <c r="H4" s="184"/>
      <c r="I4" s="186"/>
      <c r="J4" s="187"/>
      <c r="K4" s="382" t="s">
        <v>99</v>
      </c>
      <c r="L4" s="343" t="s">
        <v>87</v>
      </c>
      <c r="M4" s="301" t="s">
        <v>113</v>
      </c>
      <c r="N4" s="188" t="s">
        <v>101</v>
      </c>
      <c r="O4" s="250" t="s">
        <v>104</v>
      </c>
      <c r="P4" s="201" t="s">
        <v>105</v>
      </c>
      <c r="Q4" s="201"/>
    </row>
    <row r="5" spans="1:17" s="77" customFormat="1" ht="9" customHeight="1" x14ac:dyDescent="0.25">
      <c r="A5" s="16"/>
      <c r="B5" s="16"/>
      <c r="C5" s="233"/>
      <c r="D5" s="16"/>
      <c r="E5" s="19"/>
      <c r="F5" s="16"/>
      <c r="G5" s="20"/>
      <c r="H5" s="16"/>
      <c r="I5" s="17"/>
      <c r="J5" s="18"/>
      <c r="K5" s="383"/>
      <c r="L5" s="344"/>
      <c r="M5" s="302"/>
      <c r="N5" s="401"/>
      <c r="O5" s="401"/>
      <c r="P5" s="401"/>
      <c r="Q5" s="230"/>
    </row>
    <row r="6" spans="1:17" s="77" customFormat="1" ht="15" x14ac:dyDescent="0.25">
      <c r="A6" s="163" t="s">
        <v>8</v>
      </c>
      <c r="B6" s="144"/>
      <c r="C6" s="234"/>
      <c r="D6" s="144"/>
      <c r="E6" s="145"/>
      <c r="F6" s="144"/>
      <c r="G6" s="147"/>
      <c r="H6" s="144"/>
      <c r="I6" s="148"/>
      <c r="J6" s="149"/>
      <c r="K6" s="335"/>
      <c r="L6" s="345"/>
      <c r="M6" s="303"/>
      <c r="N6" s="67"/>
      <c r="O6" s="157"/>
      <c r="P6" s="151"/>
      <c r="Q6" s="151"/>
    </row>
    <row r="7" spans="1:17" s="77" customFormat="1" ht="7.5" customHeight="1" x14ac:dyDescent="0.25">
      <c r="A7" s="144"/>
      <c r="B7" s="144"/>
      <c r="C7" s="234"/>
      <c r="D7" s="144"/>
      <c r="E7" s="145"/>
      <c r="F7" s="144"/>
      <c r="G7" s="147"/>
      <c r="H7" s="144"/>
      <c r="I7" s="148"/>
      <c r="J7" s="149"/>
      <c r="K7" s="335"/>
      <c r="L7" s="345"/>
      <c r="M7" s="303"/>
      <c r="N7" s="67"/>
      <c r="O7" s="157"/>
      <c r="P7" s="151"/>
      <c r="Q7" s="151"/>
    </row>
    <row r="8" spans="1:17" s="77" customFormat="1" ht="15" x14ac:dyDescent="0.25">
      <c r="A8" s="164" t="s">
        <v>9</v>
      </c>
      <c r="B8" s="144"/>
      <c r="C8" s="234"/>
      <c r="D8" s="144"/>
      <c r="E8" s="145"/>
      <c r="F8" s="144"/>
      <c r="G8" s="147"/>
      <c r="H8" s="144"/>
      <c r="I8" s="205">
        <f>SUM(I9:I9)</f>
        <v>3062500</v>
      </c>
      <c r="J8" s="149"/>
      <c r="K8" s="335"/>
      <c r="L8" s="390"/>
      <c r="M8" s="303"/>
      <c r="N8" s="67"/>
      <c r="O8" s="157"/>
      <c r="P8" s="151"/>
      <c r="Q8" s="151"/>
    </row>
    <row r="9" spans="1:17" s="77" customFormat="1" ht="15" x14ac:dyDescent="0.25">
      <c r="A9" s="165" t="s">
        <v>10</v>
      </c>
      <c r="B9" s="144"/>
      <c r="C9" s="235">
        <f>OpenLot_No.</f>
        <v>2500</v>
      </c>
      <c r="D9" s="144"/>
      <c r="E9" s="150" t="s">
        <v>13</v>
      </c>
      <c r="F9" s="144"/>
      <c r="G9" s="166">
        <v>1225</v>
      </c>
      <c r="H9" s="144"/>
      <c r="I9" s="206">
        <f>C9*G9</f>
        <v>3062500</v>
      </c>
      <c r="J9" s="149"/>
      <c r="K9" s="335">
        <v>3</v>
      </c>
      <c r="L9" s="345">
        <v>525</v>
      </c>
      <c r="M9" s="303">
        <f>L9*C9</f>
        <v>1312500</v>
      </c>
      <c r="N9" s="67">
        <v>0.05</v>
      </c>
      <c r="O9" s="157">
        <v>0.36720000000000003</v>
      </c>
      <c r="P9" s="151">
        <f>O9*(I9-M9)+(N9*M9)</f>
        <v>708225</v>
      </c>
      <c r="Q9" s="151"/>
    </row>
    <row r="10" spans="1:17" s="77" customFormat="1" ht="7.5" customHeight="1" x14ac:dyDescent="0.25">
      <c r="A10" s="144"/>
      <c r="B10" s="144"/>
      <c r="C10" s="234"/>
      <c r="D10" s="144"/>
      <c r="E10" s="145"/>
      <c r="F10" s="144"/>
      <c r="G10" s="147"/>
      <c r="H10" s="144"/>
      <c r="I10" s="206"/>
      <c r="J10" s="149"/>
      <c r="K10" s="335"/>
      <c r="L10" s="345"/>
      <c r="M10" s="303"/>
      <c r="N10" s="67"/>
      <c r="O10" s="157"/>
      <c r="P10" s="151"/>
      <c r="Q10" s="151"/>
    </row>
    <row r="11" spans="1:17" s="77" customFormat="1" ht="15" x14ac:dyDescent="0.25">
      <c r="A11" s="164" t="s">
        <v>11</v>
      </c>
      <c r="B11" s="144"/>
      <c r="C11" s="234"/>
      <c r="D11" s="144"/>
      <c r="E11" s="145"/>
      <c r="F11" s="144"/>
      <c r="G11" s="147"/>
      <c r="H11" s="144"/>
      <c r="I11" s="205">
        <f>SUM(I12:I13)</f>
        <v>1847500</v>
      </c>
      <c r="J11" s="149"/>
      <c r="K11" s="335"/>
      <c r="L11" s="345"/>
      <c r="M11" s="303"/>
      <c r="N11" s="67"/>
      <c r="O11" s="157"/>
      <c r="P11" s="151"/>
      <c r="Q11" s="151"/>
    </row>
    <row r="12" spans="1:17" s="77" customFormat="1" ht="15" x14ac:dyDescent="0.25">
      <c r="A12" s="167" t="s">
        <v>222</v>
      </c>
      <c r="B12" s="144"/>
      <c r="C12" s="235">
        <f>0.06*C9</f>
        <v>150</v>
      </c>
      <c r="D12" s="144"/>
      <c r="E12" s="150" t="s">
        <v>7</v>
      </c>
      <c r="F12" s="144"/>
      <c r="G12" s="166">
        <v>4400</v>
      </c>
      <c r="H12" s="144"/>
      <c r="I12" s="206">
        <f>C12*G12</f>
        <v>660000</v>
      </c>
      <c r="J12" s="149"/>
      <c r="K12" s="335">
        <v>30</v>
      </c>
      <c r="L12" s="345"/>
      <c r="M12" s="303"/>
      <c r="N12" s="67">
        <v>7.4999999999999997E-2</v>
      </c>
      <c r="O12" s="157"/>
      <c r="P12" s="151">
        <f>N12*I12</f>
        <v>49500</v>
      </c>
      <c r="Q12" s="151"/>
    </row>
    <row r="13" spans="1:17" s="77" customFormat="1" ht="15" x14ac:dyDescent="0.25">
      <c r="A13" s="152" t="s">
        <v>223</v>
      </c>
      <c r="B13" s="144"/>
      <c r="C13" s="235">
        <f>OpenLot_No.</f>
        <v>2500</v>
      </c>
      <c r="D13" s="144"/>
      <c r="E13" s="150" t="s">
        <v>13</v>
      </c>
      <c r="F13" s="144"/>
      <c r="G13" s="153">
        <v>475</v>
      </c>
      <c r="H13" s="144"/>
      <c r="I13" s="206">
        <f>C13*G13</f>
        <v>1187500</v>
      </c>
      <c r="J13" s="149"/>
      <c r="K13" s="335">
        <v>30</v>
      </c>
      <c r="L13" s="345">
        <v>0</v>
      </c>
      <c r="M13" s="303"/>
      <c r="N13" s="67">
        <v>0.06</v>
      </c>
      <c r="O13" s="194">
        <v>7.2650000000000006E-2</v>
      </c>
      <c r="P13" s="151">
        <f>O13*I13</f>
        <v>86271.875000000015</v>
      </c>
      <c r="Q13" s="151"/>
    </row>
    <row r="14" spans="1:17" s="77" customFormat="1" ht="7.5" customHeight="1" x14ac:dyDescent="0.25">
      <c r="A14" s="144"/>
      <c r="B14" s="144"/>
      <c r="C14" s="234"/>
      <c r="D14" s="144"/>
      <c r="E14" s="145"/>
      <c r="F14" s="144"/>
      <c r="G14" s="147"/>
      <c r="H14" s="144"/>
      <c r="I14" s="206"/>
      <c r="J14" s="149"/>
      <c r="K14" s="335"/>
      <c r="L14" s="345"/>
      <c r="M14" s="303"/>
      <c r="N14" s="67"/>
      <c r="O14" s="157"/>
      <c r="P14" s="151"/>
      <c r="Q14" s="151"/>
    </row>
    <row r="15" spans="1:17" s="77" customFormat="1" ht="15" x14ac:dyDescent="0.25">
      <c r="A15" s="164" t="s">
        <v>15</v>
      </c>
      <c r="B15" s="144"/>
      <c r="C15" s="234">
        <v>1</v>
      </c>
      <c r="D15" s="144"/>
      <c r="E15" s="145"/>
      <c r="F15" s="144"/>
      <c r="G15" s="147"/>
      <c r="H15" s="144"/>
      <c r="I15" s="207">
        <f>SUM(I16:I19)</f>
        <v>211710</v>
      </c>
      <c r="J15" s="149"/>
      <c r="K15" s="335"/>
      <c r="L15" s="345"/>
      <c r="M15" s="303"/>
      <c r="N15" s="67"/>
      <c r="O15" s="157"/>
      <c r="P15" s="151"/>
      <c r="Q15" s="151"/>
    </row>
    <row r="16" spans="1:17" s="77" customFormat="1" ht="15" x14ac:dyDescent="0.25">
      <c r="A16" s="165" t="s">
        <v>16</v>
      </c>
      <c r="B16" s="144"/>
      <c r="C16" s="235">
        <v>1</v>
      </c>
      <c r="D16" s="144"/>
      <c r="E16" s="150" t="s">
        <v>17</v>
      </c>
      <c r="F16" s="144"/>
      <c r="G16" s="166">
        <v>100000</v>
      </c>
      <c r="H16" s="144"/>
      <c r="I16" s="198">
        <f>C16*G16</f>
        <v>100000</v>
      </c>
      <c r="J16" s="149"/>
      <c r="K16" s="335">
        <v>30</v>
      </c>
      <c r="L16" s="345">
        <v>0</v>
      </c>
      <c r="M16" s="303"/>
      <c r="N16" s="67">
        <v>0.06</v>
      </c>
      <c r="O16" s="194">
        <v>7.2650000000000006E-2</v>
      </c>
      <c r="P16" s="151">
        <f>O16*I16</f>
        <v>7265.0000000000009</v>
      </c>
      <c r="Q16" s="151"/>
    </row>
    <row r="17" spans="1:17" s="77" customFormat="1" ht="15" x14ac:dyDescent="0.25">
      <c r="A17" s="152" t="s">
        <v>33</v>
      </c>
      <c r="B17" s="144"/>
      <c r="C17" s="235">
        <v>1</v>
      </c>
      <c r="D17" s="144"/>
      <c r="E17" s="150" t="s">
        <v>17</v>
      </c>
      <c r="F17" s="144"/>
      <c r="G17" s="166">
        <v>105000</v>
      </c>
      <c r="H17" s="144"/>
      <c r="I17" s="198">
        <f>C17*G17</f>
        <v>105000</v>
      </c>
      <c r="J17" s="149"/>
      <c r="K17" s="335">
        <v>30</v>
      </c>
      <c r="L17" s="345">
        <v>0</v>
      </c>
      <c r="M17" s="303"/>
      <c r="N17" s="67">
        <v>0.06</v>
      </c>
      <c r="O17" s="194">
        <v>7.2650000000000006E-2</v>
      </c>
      <c r="P17" s="151">
        <f>O17*I17</f>
        <v>7628.2500000000009</v>
      </c>
      <c r="Q17" s="151"/>
    </row>
    <row r="18" spans="1:17" s="77" customFormat="1" ht="15" x14ac:dyDescent="0.25">
      <c r="A18" s="152" t="s">
        <v>34</v>
      </c>
      <c r="B18" s="144"/>
      <c r="C18" s="235">
        <v>2</v>
      </c>
      <c r="D18" s="144"/>
      <c r="E18" s="150" t="s">
        <v>17</v>
      </c>
      <c r="F18" s="144"/>
      <c r="G18" s="166">
        <v>2680</v>
      </c>
      <c r="H18" s="144"/>
      <c r="I18" s="198">
        <f>C18*G18</f>
        <v>5360</v>
      </c>
      <c r="J18" s="149"/>
      <c r="K18" s="335">
        <v>30</v>
      </c>
      <c r="L18" s="345">
        <v>0</v>
      </c>
      <c r="M18" s="303"/>
      <c r="N18" s="67">
        <v>0.06</v>
      </c>
      <c r="O18" s="194">
        <v>7.2650000000000006E-2</v>
      </c>
      <c r="P18" s="151">
        <f>O18*I18</f>
        <v>389.40400000000005</v>
      </c>
      <c r="Q18" s="151"/>
    </row>
    <row r="19" spans="1:17" s="77" customFormat="1" ht="15" x14ac:dyDescent="0.25">
      <c r="A19" s="152" t="s">
        <v>35</v>
      </c>
      <c r="B19" s="144"/>
      <c r="C19" s="235">
        <v>3</v>
      </c>
      <c r="D19" s="144"/>
      <c r="E19" s="150" t="s">
        <v>36</v>
      </c>
      <c r="F19" s="144"/>
      <c r="G19" s="166">
        <v>450</v>
      </c>
      <c r="H19" s="144"/>
      <c r="I19" s="198">
        <f>C19*G19</f>
        <v>1350</v>
      </c>
      <c r="J19" s="149"/>
      <c r="K19" s="335">
        <v>5</v>
      </c>
      <c r="L19" s="345">
        <v>0</v>
      </c>
      <c r="M19" s="303"/>
      <c r="N19" s="67">
        <v>0.06</v>
      </c>
      <c r="O19" s="157">
        <v>0.2374</v>
      </c>
      <c r="P19" s="151">
        <f>O19*I19</f>
        <v>320.49</v>
      </c>
      <c r="Q19" s="151"/>
    </row>
    <row r="20" spans="1:17" s="77" customFormat="1" ht="7.5" customHeight="1" x14ac:dyDescent="0.25">
      <c r="A20" s="144"/>
      <c r="B20" s="144"/>
      <c r="C20" s="234"/>
      <c r="D20" s="144"/>
      <c r="E20" s="145"/>
      <c r="F20" s="144"/>
      <c r="G20" s="147"/>
      <c r="H20" s="144"/>
      <c r="I20" s="206"/>
      <c r="J20" s="149"/>
      <c r="K20" s="335"/>
      <c r="L20" s="345"/>
      <c r="M20" s="303"/>
      <c r="N20" s="67"/>
      <c r="O20" s="157"/>
      <c r="P20" s="151"/>
      <c r="Q20" s="151"/>
    </row>
    <row r="21" spans="1:17" s="77" customFormat="1" ht="15" x14ac:dyDescent="0.25">
      <c r="A21" s="23" t="s">
        <v>192</v>
      </c>
      <c r="B21" s="14"/>
      <c r="C21" s="63"/>
      <c r="D21" s="14"/>
      <c r="E21" s="15"/>
      <c r="F21" s="14"/>
      <c r="G21" s="21"/>
      <c r="H21" s="14"/>
      <c r="I21" s="243">
        <f>SUM(I22:I22)</f>
        <v>3750000</v>
      </c>
      <c r="J21" s="6"/>
      <c r="K21" s="334"/>
      <c r="L21" s="346"/>
      <c r="M21" s="302"/>
      <c r="N21" s="244"/>
      <c r="O21" s="251"/>
      <c r="P21" s="230"/>
      <c r="Q21" s="151"/>
    </row>
    <row r="22" spans="1:17" s="77" customFormat="1" ht="15" x14ac:dyDescent="0.25">
      <c r="A22" s="29" t="s">
        <v>193</v>
      </c>
      <c r="B22" s="14"/>
      <c r="C22" s="235">
        <f>OpenLot_No.</f>
        <v>2500</v>
      </c>
      <c r="D22" s="14"/>
      <c r="E22" s="27" t="s">
        <v>20</v>
      </c>
      <c r="F22" s="14"/>
      <c r="G22" s="245">
        <v>1500</v>
      </c>
      <c r="H22" s="14"/>
      <c r="I22" s="246">
        <f>C22*G22</f>
        <v>3750000</v>
      </c>
      <c r="J22" s="6"/>
      <c r="K22" s="334">
        <v>30</v>
      </c>
      <c r="L22" s="346"/>
      <c r="M22" s="302"/>
      <c r="N22" s="356">
        <v>0.06</v>
      </c>
      <c r="O22" s="270">
        <v>7.2650000000000006E-2</v>
      </c>
      <c r="P22" s="247">
        <f>O22*(I22-L22)+(N22*L22)</f>
        <v>272437.5</v>
      </c>
      <c r="Q22" s="151"/>
    </row>
    <row r="23" spans="1:17" s="77" customFormat="1" ht="7.5" customHeight="1" x14ac:dyDescent="0.25">
      <c r="A23" s="144"/>
      <c r="B23" s="144"/>
      <c r="C23" s="234"/>
      <c r="D23" s="144"/>
      <c r="E23" s="145"/>
      <c r="F23" s="144"/>
      <c r="G23" s="147"/>
      <c r="H23" s="144"/>
      <c r="I23" s="206"/>
      <c r="J23" s="149"/>
      <c r="K23" s="335"/>
      <c r="L23" s="345"/>
      <c r="M23" s="303"/>
      <c r="N23" s="67"/>
      <c r="O23" s="157"/>
      <c r="P23" s="151"/>
      <c r="Q23" s="151"/>
    </row>
    <row r="24" spans="1:17" s="77" customFormat="1" ht="15" x14ac:dyDescent="0.25">
      <c r="A24" s="164" t="s">
        <v>18</v>
      </c>
      <c r="B24" s="144"/>
      <c r="C24" s="234"/>
      <c r="D24" s="144"/>
      <c r="E24" s="145"/>
      <c r="F24" s="144"/>
      <c r="G24" s="147"/>
      <c r="H24" s="144"/>
      <c r="I24" s="207">
        <f>SUM(I25:I26)</f>
        <v>1181000</v>
      </c>
      <c r="J24" s="149"/>
      <c r="K24" s="335">
        <v>30</v>
      </c>
      <c r="L24" s="345">
        <f>0.1*I24</f>
        <v>118100</v>
      </c>
      <c r="M24" s="303">
        <f>L24*C24</f>
        <v>0</v>
      </c>
      <c r="N24" s="67">
        <v>0.06</v>
      </c>
      <c r="O24" s="194">
        <v>7.2650000000000006E-2</v>
      </c>
      <c r="P24" s="151">
        <f>O24*(I24-M24)+(N24*M24)</f>
        <v>85799.650000000009</v>
      </c>
      <c r="Q24" s="151"/>
    </row>
    <row r="25" spans="1:17" s="77" customFormat="1" ht="15" x14ac:dyDescent="0.25">
      <c r="A25" s="167" t="s">
        <v>22</v>
      </c>
      <c r="B25" s="144"/>
      <c r="C25" s="235">
        <v>3500</v>
      </c>
      <c r="D25" s="144"/>
      <c r="E25" s="150" t="s">
        <v>19</v>
      </c>
      <c r="F25" s="144"/>
      <c r="G25" s="166">
        <v>70</v>
      </c>
      <c r="H25" s="144"/>
      <c r="I25" s="198">
        <f>C25*G25</f>
        <v>245000</v>
      </c>
      <c r="J25" s="149"/>
      <c r="K25" s="335"/>
      <c r="L25" s="345"/>
      <c r="M25" s="303"/>
      <c r="N25" s="67"/>
      <c r="O25" s="157"/>
      <c r="P25" s="151"/>
      <c r="Q25" s="151"/>
    </row>
    <row r="26" spans="1:17" s="77" customFormat="1" ht="15" x14ac:dyDescent="0.25">
      <c r="A26" s="154" t="s">
        <v>32</v>
      </c>
      <c r="B26" s="144"/>
      <c r="C26" s="235">
        <v>72</v>
      </c>
      <c r="D26" s="144"/>
      <c r="E26" s="150" t="s">
        <v>20</v>
      </c>
      <c r="F26" s="144"/>
      <c r="G26" s="166">
        <v>13000</v>
      </c>
      <c r="H26" s="144"/>
      <c r="I26" s="198">
        <f>C26*G26</f>
        <v>936000</v>
      </c>
      <c r="J26" s="149"/>
      <c r="K26" s="335"/>
      <c r="L26" s="345"/>
      <c r="M26" s="303"/>
      <c r="N26" s="67"/>
      <c r="O26" s="157"/>
      <c r="P26" s="151"/>
      <c r="Q26" s="151"/>
    </row>
    <row r="27" spans="1:17" s="77" customFormat="1" ht="7.5" customHeight="1" x14ac:dyDescent="0.3">
      <c r="A27" s="144"/>
      <c r="B27" s="144"/>
      <c r="C27" s="234"/>
      <c r="D27" s="144"/>
      <c r="E27" s="145"/>
      <c r="F27" s="144"/>
      <c r="G27" s="147"/>
      <c r="H27" s="144"/>
      <c r="I27" s="206"/>
      <c r="J27" s="149"/>
      <c r="K27" s="335"/>
      <c r="L27" s="345"/>
      <c r="M27" s="303"/>
      <c r="N27" s="67"/>
      <c r="O27" s="157"/>
      <c r="P27" s="151"/>
      <c r="Q27" s="151"/>
    </row>
    <row r="28" spans="1:17" s="77" customFormat="1" x14ac:dyDescent="0.3">
      <c r="A28" s="164" t="s">
        <v>21</v>
      </c>
      <c r="B28" s="144"/>
      <c r="C28" s="234"/>
      <c r="D28" s="144"/>
      <c r="E28" s="145"/>
      <c r="F28" s="144"/>
      <c r="G28" s="147"/>
      <c r="H28" s="144"/>
      <c r="I28" s="207">
        <f>SUM(I29:I30)</f>
        <v>226000</v>
      </c>
      <c r="J28" s="149"/>
      <c r="K28" s="335">
        <v>30</v>
      </c>
      <c r="L28" s="345">
        <v>0</v>
      </c>
      <c r="M28" s="303"/>
      <c r="N28" s="67">
        <v>0.06</v>
      </c>
      <c r="O28" s="194">
        <v>7.2650000000000006E-2</v>
      </c>
      <c r="P28" s="151">
        <f>O28*I28</f>
        <v>16418.900000000001</v>
      </c>
      <c r="Q28" s="151"/>
    </row>
    <row r="29" spans="1:17" s="77" customFormat="1" x14ac:dyDescent="0.3">
      <c r="A29" s="167" t="s">
        <v>22</v>
      </c>
      <c r="B29" s="144"/>
      <c r="C29" s="235">
        <v>1000</v>
      </c>
      <c r="D29" s="144"/>
      <c r="E29" s="150" t="s">
        <v>19</v>
      </c>
      <c r="F29" s="144"/>
      <c r="G29" s="166">
        <v>70</v>
      </c>
      <c r="H29" s="144"/>
      <c r="I29" s="198">
        <f>C29*G29</f>
        <v>70000</v>
      </c>
      <c r="J29" s="149"/>
      <c r="K29" s="335"/>
      <c r="L29" s="345"/>
      <c r="M29" s="303"/>
      <c r="N29" s="67"/>
      <c r="O29" s="157"/>
      <c r="P29" s="151"/>
      <c r="Q29" s="151"/>
    </row>
    <row r="30" spans="1:17" s="77" customFormat="1" x14ac:dyDescent="0.3">
      <c r="A30" s="154" t="s">
        <v>31</v>
      </c>
      <c r="B30" s="144"/>
      <c r="C30" s="235">
        <v>12</v>
      </c>
      <c r="D30" s="144"/>
      <c r="E30" s="150" t="s">
        <v>20</v>
      </c>
      <c r="F30" s="144"/>
      <c r="G30" s="166">
        <v>13000</v>
      </c>
      <c r="H30" s="144"/>
      <c r="I30" s="198">
        <f>C30*G30</f>
        <v>156000</v>
      </c>
      <c r="J30" s="149"/>
      <c r="K30" s="335"/>
      <c r="L30" s="345"/>
      <c r="M30" s="303"/>
      <c r="N30" s="67"/>
      <c r="O30" s="157"/>
      <c r="P30" s="151"/>
      <c r="Q30" s="151"/>
    </row>
    <row r="31" spans="1:17" s="77" customFormat="1" ht="7.5" customHeight="1" x14ac:dyDescent="0.3">
      <c r="A31" s="144"/>
      <c r="B31" s="144"/>
      <c r="C31" s="234"/>
      <c r="D31" s="144"/>
      <c r="E31" s="145"/>
      <c r="F31" s="144"/>
      <c r="G31" s="147"/>
      <c r="H31" s="144"/>
      <c r="I31" s="206"/>
      <c r="J31" s="149"/>
      <c r="K31" s="335"/>
      <c r="L31" s="345"/>
      <c r="M31" s="303"/>
      <c r="N31" s="67"/>
      <c r="O31" s="157"/>
      <c r="P31" s="151"/>
      <c r="Q31" s="151"/>
    </row>
    <row r="32" spans="1:17" s="77" customFormat="1" x14ac:dyDescent="0.3">
      <c r="A32" s="164" t="s">
        <v>6</v>
      </c>
      <c r="B32" s="144"/>
      <c r="C32" s="236"/>
      <c r="D32" s="144"/>
      <c r="E32" s="145"/>
      <c r="F32" s="144"/>
      <c r="G32" s="147"/>
      <c r="H32" s="144"/>
      <c r="I32" s="207">
        <f>SUM(I33:I53)</f>
        <v>1234803</v>
      </c>
      <c r="J32" s="149"/>
      <c r="K32" s="335"/>
      <c r="L32" s="345"/>
      <c r="M32" s="303"/>
      <c r="N32" s="67"/>
      <c r="O32" s="195" t="s">
        <v>106</v>
      </c>
      <c r="P32" s="196">
        <f>SUM(P33:P53)</f>
        <v>176660.34578288699</v>
      </c>
      <c r="Q32" s="196"/>
    </row>
    <row r="33" spans="1:17" s="77" customFormat="1" x14ac:dyDescent="0.3">
      <c r="A33" s="165" t="s">
        <v>23</v>
      </c>
      <c r="B33" s="144"/>
      <c r="C33" s="232">
        <v>1</v>
      </c>
      <c r="D33" s="144"/>
      <c r="E33" s="168" t="s">
        <v>17</v>
      </c>
      <c r="F33" s="144"/>
      <c r="G33" s="166">
        <v>45000</v>
      </c>
      <c r="H33" s="144"/>
      <c r="I33" s="198">
        <f t="shared" ref="I33:I53" si="0">C33*G33</f>
        <v>45000</v>
      </c>
      <c r="J33" s="149"/>
      <c r="K33" s="335">
        <v>25</v>
      </c>
      <c r="L33" s="345">
        <f>0.1*G33</f>
        <v>4500</v>
      </c>
      <c r="M33" s="303">
        <f>L33*C33</f>
        <v>4500</v>
      </c>
      <c r="N33" s="67">
        <v>0.06</v>
      </c>
      <c r="O33" s="157">
        <v>7.8226718212273949E-2</v>
      </c>
      <c r="P33" s="151">
        <f>O33*(I33-M33)+(N33*M33)</f>
        <v>3438.1820875970948</v>
      </c>
      <c r="Q33" s="151"/>
    </row>
    <row r="34" spans="1:17" s="77" customFormat="1" x14ac:dyDescent="0.3">
      <c r="A34" s="165" t="s">
        <v>187</v>
      </c>
      <c r="B34" s="144"/>
      <c r="C34" s="232">
        <v>1</v>
      </c>
      <c r="D34" s="144"/>
      <c r="E34" s="168" t="s">
        <v>17</v>
      </c>
      <c r="F34" s="144"/>
      <c r="G34" s="166">
        <v>40000</v>
      </c>
      <c r="H34" s="144"/>
      <c r="I34" s="198">
        <f t="shared" si="0"/>
        <v>40000</v>
      </c>
      <c r="J34" s="149"/>
      <c r="K34" s="335">
        <v>8</v>
      </c>
      <c r="L34" s="345">
        <f t="shared" ref="L34:L53" si="1">0.1*G34</f>
        <v>4000</v>
      </c>
      <c r="M34" s="303">
        <f t="shared" ref="M34:M53" si="2">L34*C34</f>
        <v>4000</v>
      </c>
      <c r="N34" s="67">
        <v>0.06</v>
      </c>
      <c r="O34" s="157">
        <v>0.161</v>
      </c>
      <c r="P34" s="151">
        <f t="shared" ref="P34:P53" si="3">O34*(I34-M34)+(N34*M34)</f>
        <v>6036</v>
      </c>
      <c r="Q34" s="151"/>
    </row>
    <row r="35" spans="1:17" s="77" customFormat="1" x14ac:dyDescent="0.3">
      <c r="A35" s="165" t="s">
        <v>188</v>
      </c>
      <c r="B35" s="144"/>
      <c r="C35" s="232">
        <v>1</v>
      </c>
      <c r="D35" s="144"/>
      <c r="E35" s="168" t="s">
        <v>17</v>
      </c>
      <c r="F35" s="144"/>
      <c r="G35" s="166">
        <v>20000</v>
      </c>
      <c r="H35" s="144"/>
      <c r="I35" s="198">
        <f t="shared" si="0"/>
        <v>20000</v>
      </c>
      <c r="J35" s="149"/>
      <c r="K35" s="335">
        <v>8</v>
      </c>
      <c r="L35" s="345">
        <f t="shared" si="1"/>
        <v>2000</v>
      </c>
      <c r="M35" s="303">
        <f t="shared" si="2"/>
        <v>2000</v>
      </c>
      <c r="N35" s="67">
        <v>0.06</v>
      </c>
      <c r="O35" s="157">
        <v>0.161</v>
      </c>
      <c r="P35" s="151">
        <f t="shared" si="3"/>
        <v>3018</v>
      </c>
      <c r="Q35" s="151"/>
    </row>
    <row r="36" spans="1:17" s="77" customFormat="1" x14ac:dyDescent="0.3">
      <c r="A36" s="165" t="s">
        <v>24</v>
      </c>
      <c r="B36" s="144"/>
      <c r="C36" s="232">
        <v>1</v>
      </c>
      <c r="D36" s="144"/>
      <c r="E36" s="168" t="s">
        <v>17</v>
      </c>
      <c r="F36" s="144"/>
      <c r="G36" s="166">
        <v>6000</v>
      </c>
      <c r="H36" s="144"/>
      <c r="I36" s="198">
        <f t="shared" si="0"/>
        <v>6000</v>
      </c>
      <c r="J36" s="149"/>
      <c r="K36" s="335">
        <v>10</v>
      </c>
      <c r="L36" s="345">
        <f t="shared" si="1"/>
        <v>600</v>
      </c>
      <c r="M36" s="303">
        <f t="shared" si="2"/>
        <v>600</v>
      </c>
      <c r="N36" s="67">
        <v>0.06</v>
      </c>
      <c r="O36" s="157">
        <v>0.13589999999999999</v>
      </c>
      <c r="P36" s="151">
        <f>O36*(I36-M36)+(N36*M36)</f>
        <v>769.86</v>
      </c>
      <c r="Q36" s="151"/>
    </row>
    <row r="37" spans="1:17" s="77" customFormat="1" x14ac:dyDescent="0.3">
      <c r="A37" s="165" t="s">
        <v>25</v>
      </c>
      <c r="B37" s="144"/>
      <c r="C37" s="242">
        <v>2</v>
      </c>
      <c r="D37" s="144"/>
      <c r="E37" s="168" t="s">
        <v>17</v>
      </c>
      <c r="F37" s="144"/>
      <c r="G37" s="166">
        <v>60000</v>
      </c>
      <c r="H37" s="144"/>
      <c r="I37" s="198">
        <f t="shared" si="0"/>
        <v>120000</v>
      </c>
      <c r="J37" s="149"/>
      <c r="K37" s="335">
        <v>10</v>
      </c>
      <c r="L37" s="345">
        <f t="shared" si="1"/>
        <v>6000</v>
      </c>
      <c r="M37" s="303">
        <f t="shared" si="2"/>
        <v>12000</v>
      </c>
      <c r="N37" s="67">
        <v>0.06</v>
      </c>
      <c r="O37" s="157">
        <v>0.13589999999999999</v>
      </c>
      <c r="P37" s="151">
        <f t="shared" si="3"/>
        <v>15397.199999999999</v>
      </c>
      <c r="Q37" s="151"/>
    </row>
    <row r="38" spans="1:17" s="77" customFormat="1" x14ac:dyDescent="0.3">
      <c r="A38" s="155" t="s">
        <v>26</v>
      </c>
      <c r="B38" s="144"/>
      <c r="C38" s="232">
        <v>1</v>
      </c>
      <c r="D38" s="144"/>
      <c r="E38" s="168" t="s">
        <v>17</v>
      </c>
      <c r="F38" s="144"/>
      <c r="G38" s="166">
        <v>95000</v>
      </c>
      <c r="H38" s="144"/>
      <c r="I38" s="198">
        <f t="shared" si="0"/>
        <v>95000</v>
      </c>
      <c r="J38" s="149"/>
      <c r="K38" s="335">
        <v>20</v>
      </c>
      <c r="L38" s="345">
        <f t="shared" si="1"/>
        <v>9500</v>
      </c>
      <c r="M38" s="303">
        <f t="shared" si="2"/>
        <v>9500</v>
      </c>
      <c r="N38" s="67">
        <v>0.06</v>
      </c>
      <c r="O38" s="156">
        <v>8.7184556976851402E-2</v>
      </c>
      <c r="P38" s="151">
        <f t="shared" si="3"/>
        <v>8024.2796215207945</v>
      </c>
      <c r="Q38" s="151"/>
    </row>
    <row r="39" spans="1:17" s="77" customFormat="1" x14ac:dyDescent="0.3">
      <c r="A39" s="155" t="s">
        <v>116</v>
      </c>
      <c r="B39" s="144"/>
      <c r="C39" s="232">
        <v>1</v>
      </c>
      <c r="D39" s="144"/>
      <c r="E39" s="168" t="s">
        <v>17</v>
      </c>
      <c r="F39" s="144"/>
      <c r="G39" s="166">
        <v>59000</v>
      </c>
      <c r="H39" s="144"/>
      <c r="I39" s="198">
        <f t="shared" si="0"/>
        <v>59000</v>
      </c>
      <c r="J39" s="149"/>
      <c r="K39" s="335">
        <v>20</v>
      </c>
      <c r="L39" s="345">
        <f t="shared" si="1"/>
        <v>5900</v>
      </c>
      <c r="M39" s="303">
        <f t="shared" si="2"/>
        <v>5900</v>
      </c>
      <c r="N39" s="67">
        <v>0.06</v>
      </c>
      <c r="O39" s="156">
        <v>8.7184556976851402E-2</v>
      </c>
      <c r="P39" s="151">
        <f t="shared" si="3"/>
        <v>4983.4999754708097</v>
      </c>
      <c r="Q39" s="151"/>
    </row>
    <row r="40" spans="1:17" s="77" customFormat="1" x14ac:dyDescent="0.3">
      <c r="A40" s="155" t="s">
        <v>117</v>
      </c>
      <c r="B40" s="144"/>
      <c r="C40" s="232">
        <v>1</v>
      </c>
      <c r="D40" s="144"/>
      <c r="E40" s="168" t="s">
        <v>17</v>
      </c>
      <c r="F40" s="144"/>
      <c r="G40" s="166">
        <v>44000</v>
      </c>
      <c r="H40" s="144"/>
      <c r="I40" s="198">
        <f t="shared" si="0"/>
        <v>44000</v>
      </c>
      <c r="J40" s="149"/>
      <c r="K40" s="335">
        <v>20</v>
      </c>
      <c r="L40" s="345">
        <f t="shared" si="1"/>
        <v>4400</v>
      </c>
      <c r="M40" s="303">
        <f t="shared" si="2"/>
        <v>4400</v>
      </c>
      <c r="N40" s="67">
        <v>0.06</v>
      </c>
      <c r="O40" s="156">
        <v>8.7184556976851402E-2</v>
      </c>
      <c r="P40" s="151">
        <f t="shared" si="3"/>
        <v>3716.5084562833154</v>
      </c>
      <c r="Q40" s="151"/>
    </row>
    <row r="41" spans="1:17" s="77" customFormat="1" x14ac:dyDescent="0.3">
      <c r="A41" s="155" t="s">
        <v>27</v>
      </c>
      <c r="B41" s="144"/>
      <c r="C41" s="242">
        <v>2</v>
      </c>
      <c r="D41" s="144"/>
      <c r="E41" s="168" t="s">
        <v>17</v>
      </c>
      <c r="F41" s="144"/>
      <c r="G41" s="166">
        <v>38000</v>
      </c>
      <c r="H41" s="144"/>
      <c r="I41" s="198">
        <f t="shared" si="0"/>
        <v>76000</v>
      </c>
      <c r="J41" s="149"/>
      <c r="K41" s="335">
        <v>10</v>
      </c>
      <c r="L41" s="345">
        <f t="shared" si="1"/>
        <v>3800</v>
      </c>
      <c r="M41" s="303">
        <f t="shared" si="2"/>
        <v>7600</v>
      </c>
      <c r="N41" s="67">
        <v>0.06</v>
      </c>
      <c r="O41" s="157">
        <v>0.13589999999999999</v>
      </c>
      <c r="P41" s="151">
        <f t="shared" si="3"/>
        <v>9751.56</v>
      </c>
      <c r="Q41" s="151"/>
    </row>
    <row r="42" spans="1:17" s="77" customFormat="1" x14ac:dyDescent="0.3">
      <c r="A42" s="165" t="s">
        <v>28</v>
      </c>
      <c r="B42" s="144"/>
      <c r="C42" s="242">
        <v>2</v>
      </c>
      <c r="D42" s="144"/>
      <c r="E42" s="168" t="s">
        <v>17</v>
      </c>
      <c r="F42" s="144"/>
      <c r="G42" s="166">
        <v>79000</v>
      </c>
      <c r="H42" s="144"/>
      <c r="I42" s="198">
        <f t="shared" si="0"/>
        <v>158000</v>
      </c>
      <c r="J42" s="149"/>
      <c r="K42" s="335">
        <v>10</v>
      </c>
      <c r="L42" s="345">
        <f t="shared" si="1"/>
        <v>7900</v>
      </c>
      <c r="M42" s="303">
        <f t="shared" si="2"/>
        <v>15800</v>
      </c>
      <c r="N42" s="67">
        <v>0.06</v>
      </c>
      <c r="O42" s="157">
        <v>0.13589999999999999</v>
      </c>
      <c r="P42" s="151">
        <f t="shared" si="3"/>
        <v>20272.98</v>
      </c>
      <c r="Q42" s="151"/>
    </row>
    <row r="43" spans="1:17" s="77" customFormat="1" x14ac:dyDescent="0.3">
      <c r="A43" s="165" t="s">
        <v>120</v>
      </c>
      <c r="B43" s="144"/>
      <c r="C43" s="242">
        <v>2</v>
      </c>
      <c r="D43" s="144"/>
      <c r="E43" s="168" t="s">
        <v>17</v>
      </c>
      <c r="F43" s="144"/>
      <c r="G43" s="166">
        <v>35000</v>
      </c>
      <c r="H43" s="144"/>
      <c r="I43" s="198">
        <f t="shared" si="0"/>
        <v>70000</v>
      </c>
      <c r="J43" s="149"/>
      <c r="K43" s="335">
        <v>3</v>
      </c>
      <c r="L43" s="345">
        <f t="shared" si="1"/>
        <v>3500</v>
      </c>
      <c r="M43" s="303">
        <f t="shared" si="2"/>
        <v>7000</v>
      </c>
      <c r="N43" s="67">
        <v>0.06</v>
      </c>
      <c r="O43" s="157">
        <v>0.374109812790551</v>
      </c>
      <c r="P43" s="151">
        <f t="shared" si="3"/>
        <v>23988.918205804712</v>
      </c>
      <c r="Q43" s="151"/>
    </row>
    <row r="44" spans="1:17" s="77" customFormat="1" x14ac:dyDescent="0.3">
      <c r="A44" s="165" t="s">
        <v>183</v>
      </c>
      <c r="B44" s="144"/>
      <c r="C44" s="232">
        <v>1</v>
      </c>
      <c r="D44" s="144"/>
      <c r="E44" s="168" t="s">
        <v>17</v>
      </c>
      <c r="F44" s="144"/>
      <c r="G44" s="166">
        <v>50000</v>
      </c>
      <c r="H44" s="144"/>
      <c r="I44" s="198">
        <f t="shared" si="0"/>
        <v>50000</v>
      </c>
      <c r="J44" s="149"/>
      <c r="K44" s="335">
        <v>3</v>
      </c>
      <c r="L44" s="345">
        <f t="shared" si="1"/>
        <v>5000</v>
      </c>
      <c r="M44" s="303">
        <f t="shared" si="2"/>
        <v>5000</v>
      </c>
      <c r="N44" s="67">
        <v>0.06</v>
      </c>
      <c r="O44" s="157">
        <v>0.374109812790551</v>
      </c>
      <c r="P44" s="151">
        <f t="shared" si="3"/>
        <v>17134.941575574794</v>
      </c>
      <c r="Q44" s="151"/>
    </row>
    <row r="45" spans="1:17" s="77" customFormat="1" x14ac:dyDescent="0.3">
      <c r="A45" s="165" t="s">
        <v>189</v>
      </c>
      <c r="B45" s="144"/>
      <c r="C45" s="232">
        <v>1</v>
      </c>
      <c r="D45" s="144"/>
      <c r="E45" s="168" t="s">
        <v>17</v>
      </c>
      <c r="F45" s="144"/>
      <c r="G45" s="166">
        <v>125000</v>
      </c>
      <c r="H45" s="144"/>
      <c r="I45" s="198">
        <f t="shared" si="0"/>
        <v>125000</v>
      </c>
      <c r="J45" s="149"/>
      <c r="K45" s="335">
        <v>4</v>
      </c>
      <c r="L45" s="345">
        <f t="shared" si="1"/>
        <v>12500</v>
      </c>
      <c r="M45" s="303">
        <f t="shared" si="2"/>
        <v>12500</v>
      </c>
      <c r="N45" s="67">
        <v>0.06</v>
      </c>
      <c r="O45" s="157">
        <v>0.161</v>
      </c>
      <c r="P45" s="151">
        <f t="shared" si="3"/>
        <v>18862.5</v>
      </c>
      <c r="Q45" s="151"/>
    </row>
    <row r="46" spans="1:17" s="77" customFormat="1" x14ac:dyDescent="0.3">
      <c r="A46" s="165" t="s">
        <v>190</v>
      </c>
      <c r="B46" s="144"/>
      <c r="C46" s="232">
        <v>1</v>
      </c>
      <c r="D46" s="144"/>
      <c r="E46" s="168" t="s">
        <v>17</v>
      </c>
      <c r="F46" s="144"/>
      <c r="G46" s="166">
        <v>65000</v>
      </c>
      <c r="H46" s="144"/>
      <c r="I46" s="198">
        <v>95000</v>
      </c>
      <c r="J46" s="149"/>
      <c r="K46" s="335">
        <v>2</v>
      </c>
      <c r="L46" s="345">
        <f t="shared" si="1"/>
        <v>6500</v>
      </c>
      <c r="M46" s="303">
        <f t="shared" si="2"/>
        <v>6500</v>
      </c>
      <c r="N46" s="67">
        <v>0.06</v>
      </c>
      <c r="O46" s="157">
        <v>0.161</v>
      </c>
      <c r="P46" s="151">
        <f t="shared" si="3"/>
        <v>14638.5</v>
      </c>
      <c r="Q46" s="151"/>
    </row>
    <row r="47" spans="1:17" s="77" customFormat="1" x14ac:dyDescent="0.3">
      <c r="A47" s="165" t="s">
        <v>191</v>
      </c>
      <c r="B47" s="144"/>
      <c r="C47" s="242">
        <v>2</v>
      </c>
      <c r="D47" s="144"/>
      <c r="E47" s="168" t="s">
        <v>17</v>
      </c>
      <c r="F47" s="144"/>
      <c r="G47" s="166">
        <v>16188</v>
      </c>
      <c r="H47" s="144"/>
      <c r="I47" s="198">
        <f t="shared" si="0"/>
        <v>32376</v>
      </c>
      <c r="J47" s="149"/>
      <c r="K47" s="335">
        <v>20</v>
      </c>
      <c r="L47" s="345">
        <f t="shared" si="1"/>
        <v>1618.8000000000002</v>
      </c>
      <c r="M47" s="303">
        <f t="shared" si="2"/>
        <v>3237.6000000000004</v>
      </c>
      <c r="N47" s="67">
        <v>0.06</v>
      </c>
      <c r="O47" s="156">
        <v>8.7184556976851402E-2</v>
      </c>
      <c r="P47" s="151">
        <f t="shared" si="3"/>
        <v>2734.674495014287</v>
      </c>
      <c r="Q47" s="151"/>
    </row>
    <row r="48" spans="1:17" s="77" customFormat="1" x14ac:dyDescent="0.3">
      <c r="A48" s="165" t="s">
        <v>118</v>
      </c>
      <c r="B48" s="144"/>
      <c r="C48" s="232">
        <v>1</v>
      </c>
      <c r="D48" s="144"/>
      <c r="E48" s="168" t="s">
        <v>17</v>
      </c>
      <c r="F48" s="144"/>
      <c r="G48" s="166">
        <v>64500</v>
      </c>
      <c r="H48" s="144"/>
      <c r="I48" s="198">
        <f>C48*G48</f>
        <v>64500</v>
      </c>
      <c r="J48" s="149"/>
      <c r="K48" s="335">
        <v>10</v>
      </c>
      <c r="L48" s="345">
        <f t="shared" si="1"/>
        <v>6450</v>
      </c>
      <c r="M48" s="303">
        <f t="shared" si="2"/>
        <v>6450</v>
      </c>
      <c r="N48" s="67">
        <v>0.06</v>
      </c>
      <c r="O48" s="157">
        <v>0.13589999999999999</v>
      </c>
      <c r="P48" s="151">
        <f>O48*(I48-M48)+(N48*M48)</f>
        <v>8275.994999999999</v>
      </c>
      <c r="Q48" s="151"/>
    </row>
    <row r="49" spans="1:17" s="77" customFormat="1" x14ac:dyDescent="0.3">
      <c r="A49" s="165" t="s">
        <v>119</v>
      </c>
      <c r="B49" s="144"/>
      <c r="C49" s="232">
        <v>1</v>
      </c>
      <c r="D49" s="144"/>
      <c r="E49" s="168" t="s">
        <v>17</v>
      </c>
      <c r="F49" s="144"/>
      <c r="G49" s="166">
        <v>48000</v>
      </c>
      <c r="H49" s="144"/>
      <c r="I49" s="198">
        <f>C49*G49</f>
        <v>48000</v>
      </c>
      <c r="J49" s="149"/>
      <c r="K49" s="335">
        <v>20</v>
      </c>
      <c r="L49" s="345">
        <f>0.1*G49</f>
        <v>4800</v>
      </c>
      <c r="M49" s="303">
        <f>L49*C49</f>
        <v>4800</v>
      </c>
      <c r="N49" s="67">
        <v>0.06</v>
      </c>
      <c r="O49" s="156">
        <v>8.7184556976851402E-2</v>
      </c>
      <c r="P49" s="151">
        <f>O49*(I49-M49)+(N49*M49)</f>
        <v>4054.3728613999806</v>
      </c>
      <c r="Q49" s="151"/>
    </row>
    <row r="50" spans="1:17" s="77" customFormat="1" x14ac:dyDescent="0.3">
      <c r="A50" s="165" t="s">
        <v>185</v>
      </c>
      <c r="B50" s="144"/>
      <c r="C50" s="232">
        <v>1</v>
      </c>
      <c r="D50" s="144"/>
      <c r="E50" s="168" t="s">
        <v>17</v>
      </c>
      <c r="F50" s="144"/>
      <c r="G50" s="166">
        <v>3300</v>
      </c>
      <c r="H50" s="144"/>
      <c r="I50" s="198">
        <f>C50*G50</f>
        <v>3300</v>
      </c>
      <c r="J50" s="149"/>
      <c r="K50" s="335">
        <v>20</v>
      </c>
      <c r="L50" s="345">
        <f>0.1*G50</f>
        <v>330</v>
      </c>
      <c r="M50" s="303">
        <f>L50*C50</f>
        <v>330</v>
      </c>
      <c r="N50" s="67">
        <v>0.06</v>
      </c>
      <c r="O50" s="156">
        <v>8.7184556976851402E-2</v>
      </c>
      <c r="P50" s="151">
        <f>O50*(I50-M50)+(N50*M50)</f>
        <v>278.73813422124869</v>
      </c>
      <c r="Q50" s="151"/>
    </row>
    <row r="51" spans="1:17" s="77" customFormat="1" x14ac:dyDescent="0.3">
      <c r="A51" s="165" t="s">
        <v>186</v>
      </c>
      <c r="B51" s="144"/>
      <c r="C51" s="232">
        <v>1</v>
      </c>
      <c r="D51" s="144"/>
      <c r="E51" s="168" t="s">
        <v>17</v>
      </c>
      <c r="F51" s="144"/>
      <c r="G51" s="166">
        <v>9127</v>
      </c>
      <c r="H51" s="144"/>
      <c r="I51" s="198">
        <f>C51*G51</f>
        <v>9127</v>
      </c>
      <c r="J51" s="149"/>
      <c r="K51" s="335">
        <v>10</v>
      </c>
      <c r="L51" s="345">
        <f>0.1*G51</f>
        <v>912.7</v>
      </c>
      <c r="M51" s="303">
        <f>L51*C51</f>
        <v>912.7</v>
      </c>
      <c r="N51" s="67">
        <v>0.06</v>
      </c>
      <c r="O51" s="157">
        <v>0.13589999999999999</v>
      </c>
      <c r="P51" s="151">
        <f>O51*(I51-M51)+(N51*M51)</f>
        <v>1171.0853699999998</v>
      </c>
      <c r="Q51" s="151"/>
    </row>
    <row r="52" spans="1:17" s="77" customFormat="1" x14ac:dyDescent="0.3">
      <c r="A52" s="165" t="s">
        <v>184</v>
      </c>
      <c r="B52" s="144"/>
      <c r="C52" s="232">
        <v>1</v>
      </c>
      <c r="D52" s="144"/>
      <c r="E52" s="168" t="s">
        <v>17</v>
      </c>
      <c r="F52" s="144"/>
      <c r="G52" s="166">
        <v>24500</v>
      </c>
      <c r="H52" s="144"/>
      <c r="I52" s="198">
        <f>C52*G52</f>
        <v>24500</v>
      </c>
      <c r="J52" s="149"/>
      <c r="K52" s="335">
        <v>8</v>
      </c>
      <c r="L52" s="345">
        <f>0.1*G52</f>
        <v>2450</v>
      </c>
      <c r="M52" s="303">
        <f>L52*C52</f>
        <v>2450</v>
      </c>
      <c r="N52" s="67">
        <v>0.06</v>
      </c>
      <c r="O52" s="157">
        <v>0.161</v>
      </c>
      <c r="P52" s="151">
        <f>O52*(I52-M52)+(N52*M52)</f>
        <v>3697.05</v>
      </c>
      <c r="Q52" s="151"/>
    </row>
    <row r="53" spans="1:17" s="77" customFormat="1" x14ac:dyDescent="0.3">
      <c r="A53" s="165" t="s">
        <v>29</v>
      </c>
      <c r="B53" s="144"/>
      <c r="C53" s="232">
        <v>1</v>
      </c>
      <c r="D53" s="144"/>
      <c r="E53" s="168" t="s">
        <v>17</v>
      </c>
      <c r="F53" s="144"/>
      <c r="G53" s="166">
        <v>50000</v>
      </c>
      <c r="H53" s="144"/>
      <c r="I53" s="198">
        <f t="shared" si="0"/>
        <v>50000</v>
      </c>
      <c r="J53" s="149"/>
      <c r="K53" s="335">
        <v>10</v>
      </c>
      <c r="L53" s="345">
        <f t="shared" si="1"/>
        <v>5000</v>
      </c>
      <c r="M53" s="303">
        <f t="shared" si="2"/>
        <v>5000</v>
      </c>
      <c r="N53" s="67">
        <v>0.06</v>
      </c>
      <c r="O53" s="157">
        <v>0.13589999999999999</v>
      </c>
      <c r="P53" s="151">
        <f t="shared" si="3"/>
        <v>6415.5</v>
      </c>
      <c r="Q53" s="151"/>
    </row>
    <row r="54" spans="1:17" s="77" customFormat="1" ht="11.25" customHeight="1" x14ac:dyDescent="0.3">
      <c r="A54" s="144"/>
      <c r="B54" s="144"/>
      <c r="C54" s="234"/>
      <c r="D54" s="144"/>
      <c r="E54" s="145"/>
      <c r="F54" s="144"/>
      <c r="G54" s="147"/>
      <c r="H54" s="144"/>
      <c r="I54" s="206"/>
      <c r="J54" s="149"/>
      <c r="K54" s="335"/>
      <c r="L54" s="345"/>
      <c r="M54" s="303"/>
      <c r="N54" s="67"/>
      <c r="O54" s="157"/>
      <c r="P54" s="151"/>
      <c r="Q54" s="151"/>
    </row>
    <row r="55" spans="1:17" s="77" customFormat="1" x14ac:dyDescent="0.3">
      <c r="A55" s="144" t="s">
        <v>228</v>
      </c>
      <c r="B55" s="144"/>
      <c r="C55" s="234"/>
      <c r="D55" s="144"/>
      <c r="E55" s="145"/>
      <c r="F55" s="144"/>
      <c r="G55" s="144"/>
      <c r="H55" s="144"/>
      <c r="I55" s="198">
        <f>SUM(I8:I54)-(I8+I11+I15+I21+I24+I28+I32)</f>
        <v>11513513</v>
      </c>
      <c r="J55" s="149"/>
      <c r="K55" s="337"/>
      <c r="L55" s="348">
        <f>SUM(L9:L54)</f>
        <v>216286.5</v>
      </c>
      <c r="M55" s="305"/>
      <c r="N55" s="68"/>
      <c r="O55" s="271"/>
      <c r="P55" s="197"/>
      <c r="Q55" s="197"/>
    </row>
    <row r="56" spans="1:17" s="77" customFormat="1" x14ac:dyDescent="0.3">
      <c r="A56" s="144" t="s">
        <v>229</v>
      </c>
      <c r="B56" s="144"/>
      <c r="C56" s="234"/>
      <c r="D56" s="144"/>
      <c r="E56" s="145"/>
      <c r="F56" s="144"/>
      <c r="G56" s="144"/>
      <c r="H56" s="144"/>
      <c r="I56" s="198">
        <f>I55/C9</f>
        <v>4605.4052000000001</v>
      </c>
      <c r="J56" s="149"/>
      <c r="K56" s="385"/>
      <c r="L56" s="348">
        <f>L55/FreeStall_No.</f>
        <v>86.514600000000002</v>
      </c>
      <c r="M56" s="305"/>
      <c r="N56" s="68"/>
      <c r="O56" s="271"/>
      <c r="P56" s="197"/>
      <c r="Q56" s="197"/>
    </row>
    <row r="57" spans="1:17" s="354" customFormat="1" ht="7.5" customHeight="1" x14ac:dyDescent="0.3">
      <c r="A57" s="362"/>
      <c r="B57" s="362"/>
      <c r="C57" s="234"/>
      <c r="D57" s="362"/>
      <c r="E57" s="363"/>
      <c r="F57" s="362"/>
      <c r="G57" s="364"/>
      <c r="H57" s="362"/>
      <c r="I57" s="370"/>
      <c r="J57" s="365"/>
      <c r="K57" s="384"/>
      <c r="L57" s="345"/>
      <c r="M57" s="375"/>
      <c r="N57" s="356"/>
      <c r="O57" s="367"/>
      <c r="P57" s="366"/>
      <c r="Q57" s="366"/>
    </row>
    <row r="58" spans="1:17" s="77" customFormat="1" x14ac:dyDescent="0.3">
      <c r="A58" s="362" t="s">
        <v>231</v>
      </c>
      <c r="B58" s="144"/>
      <c r="C58" s="234"/>
      <c r="D58" s="144"/>
      <c r="E58" s="145"/>
      <c r="F58" s="144"/>
      <c r="G58" s="144"/>
      <c r="H58" s="144"/>
      <c r="I58" s="198">
        <f>AVERAGE(I55,L55)</f>
        <v>5864899.75</v>
      </c>
      <c r="J58" s="149"/>
      <c r="K58" s="386"/>
      <c r="L58" s="347"/>
      <c r="M58" s="304"/>
      <c r="N58" s="67"/>
      <c r="O58" s="157"/>
      <c r="P58" s="151"/>
      <c r="Q58" s="151"/>
    </row>
    <row r="59" spans="1:17" s="77" customFormat="1" x14ac:dyDescent="0.3">
      <c r="A59" s="362" t="s">
        <v>230</v>
      </c>
      <c r="B59" s="144"/>
      <c r="C59" s="234"/>
      <c r="D59" s="144"/>
      <c r="E59" s="145"/>
      <c r="F59" s="144"/>
      <c r="G59" s="144"/>
      <c r="H59" s="144"/>
      <c r="I59" s="374">
        <f>I58/FreeStall_No.</f>
        <v>2345.9598999999998</v>
      </c>
      <c r="J59" s="149"/>
      <c r="K59" s="386"/>
      <c r="L59" s="347"/>
      <c r="M59" s="304"/>
      <c r="N59" s="67"/>
      <c r="O59" s="157"/>
      <c r="P59" s="151"/>
      <c r="Q59" s="151"/>
    </row>
    <row r="60" spans="1:17" s="354" customFormat="1" ht="7.5" customHeight="1" x14ac:dyDescent="0.3">
      <c r="A60" s="362"/>
      <c r="B60" s="362"/>
      <c r="C60" s="234"/>
      <c r="D60" s="362"/>
      <c r="E60" s="363"/>
      <c r="F60" s="362"/>
      <c r="G60" s="364"/>
      <c r="H60" s="362"/>
      <c r="I60" s="370"/>
      <c r="J60" s="365"/>
      <c r="K60" s="384"/>
      <c r="L60" s="345"/>
      <c r="M60" s="375"/>
      <c r="N60" s="356"/>
      <c r="O60" s="367"/>
      <c r="P60" s="366"/>
      <c r="Q60" s="366"/>
    </row>
    <row r="61" spans="1:17" s="77" customFormat="1" x14ac:dyDescent="0.3">
      <c r="A61" s="144" t="s">
        <v>111</v>
      </c>
      <c r="B61" s="144"/>
      <c r="C61" s="238"/>
      <c r="D61" s="144"/>
      <c r="E61" s="145"/>
      <c r="F61" s="144"/>
      <c r="G61" s="144"/>
      <c r="H61" s="144"/>
      <c r="I61" s="198">
        <f>P61</f>
        <v>1410916.4147828869</v>
      </c>
      <c r="J61" s="149"/>
      <c r="K61" s="386"/>
      <c r="L61" s="347"/>
      <c r="M61" s="304"/>
      <c r="N61" s="67"/>
      <c r="O61" s="157"/>
      <c r="P61" s="151">
        <f>SUM($P$9:$P$56)-$P$32</f>
        <v>1410916.4147828869</v>
      </c>
      <c r="Q61" s="151"/>
    </row>
    <row r="62" spans="1:17" s="77" customFormat="1" x14ac:dyDescent="0.3">
      <c r="A62" s="144" t="s">
        <v>227</v>
      </c>
      <c r="B62" s="144"/>
      <c r="C62" s="238"/>
      <c r="D62" s="144"/>
      <c r="E62" s="145"/>
      <c r="F62" s="144"/>
      <c r="G62" s="144"/>
      <c r="H62" s="144"/>
      <c r="I62" s="198">
        <f>P62</f>
        <v>564.36656591315477</v>
      </c>
      <c r="J62" s="149"/>
      <c r="K62" s="385"/>
      <c r="L62" s="348"/>
      <c r="M62" s="305"/>
      <c r="N62" s="68"/>
      <c r="O62" s="271"/>
      <c r="P62" s="366">
        <f>$P$61/FreeStall_No.</f>
        <v>564.36656591315477</v>
      </c>
      <c r="Q62" s="151"/>
    </row>
    <row r="63" spans="1:17" s="77" customFormat="1" ht="8.25" customHeight="1" x14ac:dyDescent="0.3">
      <c r="A63" s="159"/>
      <c r="B63" s="159"/>
      <c r="C63" s="239"/>
      <c r="D63" s="159"/>
      <c r="E63" s="160"/>
      <c r="F63" s="159"/>
      <c r="G63" s="159"/>
      <c r="H63" s="159"/>
      <c r="I63" s="161"/>
      <c r="J63" s="162"/>
      <c r="K63" s="387"/>
      <c r="L63" s="349"/>
      <c r="M63" s="306"/>
      <c r="N63" s="69"/>
      <c r="O63" s="272"/>
      <c r="P63" s="202"/>
      <c r="Q63" s="202"/>
    </row>
    <row r="64" spans="1:17" s="77" customFormat="1" x14ac:dyDescent="0.3">
      <c r="A64" s="62" t="s">
        <v>224</v>
      </c>
      <c r="B64" s="62"/>
      <c r="C64" s="62"/>
      <c r="D64" s="62"/>
      <c r="E64" s="62"/>
      <c r="F64" s="62"/>
      <c r="G64" s="123"/>
      <c r="H64" s="123"/>
      <c r="I64" s="124"/>
      <c r="J64" s="62"/>
      <c r="K64" s="388"/>
      <c r="L64" s="350"/>
      <c r="M64" s="39"/>
      <c r="O64" s="255"/>
      <c r="Q64" s="62"/>
    </row>
    <row r="65" spans="1:17" s="77" customFormat="1" x14ac:dyDescent="0.3">
      <c r="A65" s="104" t="s">
        <v>225</v>
      </c>
      <c r="B65" s="62"/>
      <c r="C65" s="62"/>
      <c r="D65" s="62"/>
      <c r="E65" s="62"/>
      <c r="F65" s="62"/>
      <c r="G65" s="123"/>
      <c r="H65" s="123"/>
      <c r="I65" s="124"/>
      <c r="J65" s="62"/>
      <c r="K65" s="388"/>
      <c r="L65" s="350"/>
      <c r="M65" s="254"/>
      <c r="N65" s="62"/>
      <c r="O65" s="352"/>
      <c r="P65" s="62"/>
      <c r="Q65" s="62"/>
    </row>
    <row r="66" spans="1:17" s="354" customFormat="1" x14ac:dyDescent="0.3">
      <c r="A66" s="106"/>
      <c r="B66" s="106"/>
      <c r="C66" s="368"/>
      <c r="D66" s="106"/>
      <c r="E66" s="107"/>
      <c r="F66" s="106"/>
      <c r="G66" s="106"/>
      <c r="H66" s="106"/>
      <c r="I66" s="106"/>
      <c r="J66" s="106"/>
      <c r="K66" s="391"/>
      <c r="L66" s="392"/>
      <c r="M66" s="392"/>
      <c r="N66" s="124"/>
      <c r="O66" s="273"/>
      <c r="P66" s="106"/>
    </row>
  </sheetData>
  <mergeCells count="2">
    <mergeCell ref="N5:P5"/>
    <mergeCell ref="A1:Q1"/>
  </mergeCells>
  <printOptions horizontalCentered="1"/>
  <pageMargins left="0.7" right="0.7" top="0.75" bottom="0.75" header="0.3" footer="0.3"/>
  <pageSetup scale="5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Title</vt:lpstr>
      <vt:lpstr>Background &amp; Assumptions</vt:lpstr>
      <vt:lpstr>Summary</vt:lpstr>
      <vt:lpstr>Table 1 Enterprise Budget </vt:lpstr>
      <vt:lpstr>Table 2 Capital Costs</vt:lpstr>
      <vt:lpstr>Amortization Factors</vt:lpstr>
      <vt:lpstr>Tables 3 &amp; 4</vt:lpstr>
      <vt:lpstr>Table 5</vt:lpstr>
      <vt:lpstr>FreeStall_No.</vt:lpstr>
      <vt:lpstr>FreeStall_Prod.</vt:lpstr>
      <vt:lpstr>OpenLot_No.</vt:lpstr>
      <vt:lpstr>OpenLot_Prod</vt:lpstr>
      <vt:lpstr>Pmilk</vt:lpstr>
      <vt:lpstr>'Background &amp; Assumptions'!Print_Area</vt:lpstr>
      <vt:lpstr>Summary!Print_Area</vt:lpstr>
      <vt:lpstr>'Table 1 Enterprise Budget '!Print_Area</vt:lpstr>
      <vt:lpstr>'Table 2 Capital Costs'!Print_Area</vt:lpstr>
      <vt:lpstr>'Table 5'!Print_Area</vt:lpstr>
      <vt:lpstr>'Tables 3 &amp; 4'!Print_Area</vt:lpstr>
      <vt:lpstr>Title!Print_Area</vt:lpstr>
      <vt:lpstr>PRODMED</vt:lpstr>
    </vt:vector>
  </TitlesOfParts>
  <Company>University of Idaho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EBB-D4-12</dc:title>
  <dc:subject>free stall dairy southern Idaho</dc:subject>
  <dc:creator>Kate Painter</dc:creator>
  <cp:keywords>dairy, milk, feed, production costs</cp:keywords>
  <cp:lastModifiedBy>Wilson Gray</cp:lastModifiedBy>
  <cp:lastPrinted>2013-08-19T18:37:09Z</cp:lastPrinted>
  <dcterms:created xsi:type="dcterms:W3CDTF">2010-07-28T20:14:59Z</dcterms:created>
  <dcterms:modified xsi:type="dcterms:W3CDTF">2013-09-05T19:54:28Z</dcterms:modified>
</cp:coreProperties>
</file>