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defaultThemeVersion="124226"/>
  <mc:AlternateContent xmlns:mc="http://schemas.openxmlformats.org/markup-compatibility/2006">
    <mc:Choice Requires="x15">
      <x15ac:absPath xmlns:x15ac="http://schemas.microsoft.com/office/spreadsheetml/2010/11/ac" url="C:\Users\kpainter\Dropbox\2014 Livestock\Dairy\"/>
    </mc:Choice>
  </mc:AlternateContent>
  <bookViews>
    <workbookView xWindow="0" yWindow="0" windowWidth="19200" windowHeight="10995" firstSheet="3" activeTab="3"/>
  </bookViews>
  <sheets>
    <sheet name="Title" sheetId="6" r:id="rId1"/>
    <sheet name="Background &amp; Assumptions" sheetId="8" r:id="rId2"/>
    <sheet name="Feed Prices" sheetId="10" r:id="rId3"/>
    <sheet name="Table 1 Feed Rations by Group" sheetId="9" r:id="rId4"/>
    <sheet name="Table 2 Operating Budget" sheetId="2" r:id="rId5"/>
    <sheet name="Table 3 Capital Costs" sheetId="4" r:id="rId6"/>
    <sheet name="calc from Mann" sheetId="1" state="hidden" r:id="rId7"/>
    <sheet name="calc for 10000 head" sheetId="5" state="hidden" r:id="rId8"/>
    <sheet name="fuel tank estimates" sheetId="3" state="hidden" r:id="rId9"/>
  </sheets>
  <externalReferences>
    <externalReference r:id="rId10"/>
  </externalReferences>
  <definedNames>
    <definedName name="alfalfa">'calc from Mann'!$C$2</definedName>
    <definedName name="barley">'Feed Prices'!$C$14</definedName>
    <definedName name="beetpulp">'Feed Prices'!$C$15</definedName>
    <definedName name="cake">'calc from Mann'!$C$8</definedName>
    <definedName name="canola">'Feed Prices'!$C$12</definedName>
    <definedName name="corn">'calc from Mann'!$C$6</definedName>
    <definedName name="cornsilage">'Feed Prices'!$C$10</definedName>
    <definedName name="cullrate">'Table 2 Operating Budget'!$K$5</definedName>
    <definedName name="deathloss">'Table 2 Operating Budget'!$G$5</definedName>
    <definedName name="distillers">'calc from Mann'!$C$3</definedName>
    <definedName name="feederhay">'Feed Prices'!$C$8</definedName>
    <definedName name="FreeStall_Prod.">[1]Summary!$D$3</definedName>
    <definedName name="head">'fuel tank estimates'!$B$13</definedName>
    <definedName name="Heifers">'Table 2 Operating Budget'!$C$5</definedName>
    <definedName name="mineral">'calc from Mann'!$C$5</definedName>
    <definedName name="mint">'calc from Mann'!$C$7</definedName>
    <definedName name="molasses">'Feed Prices'!$C$17</definedName>
    <definedName name="OpenLot_No.">'Table 2 Operating Budget'!$C$5</definedName>
    <definedName name="peel">'calc from Mann'!$C$9</definedName>
    <definedName name="Pmilk">[1]Summary!$D$5</definedName>
    <definedName name="_xlnm.Print_Area" localSheetId="1">'Background &amp; Assumptions'!$A$1:$J$48</definedName>
    <definedName name="_xlnm.Print_Area" localSheetId="6">'calc from Mann'!$A$1:$I$35</definedName>
    <definedName name="_xlnm.Print_Area" localSheetId="2">'Feed Prices'!$A$1:$D$18</definedName>
    <definedName name="_xlnm.Print_Area" localSheetId="3">'Table 1 Feed Rations by Group'!$A$1:$X$23</definedName>
    <definedName name="_xlnm.Print_Area" localSheetId="4">'Table 2 Operating Budget'!$A$5:$Q$87</definedName>
    <definedName name="_xlnm.Print_Area" localSheetId="5">'Table 3 Capital Costs'!$A$1:$Q$59</definedName>
    <definedName name="_xlnm.Print_Area" localSheetId="0">Title!$A$1:$L$53</definedName>
    <definedName name="pushout">'Feed Prices'!$C$11</definedName>
    <definedName name="ryegrasspellets">'Feed Prices'!$C$16</definedName>
    <definedName name="silage">'calc from Mann'!$C$4</definedName>
    <definedName name="SpringerMarketPrice" comment="NASS Annual ave price for Idaho dairy cows">'Table 2 Operating Budget'!$I$1</definedName>
    <definedName name="straw">'calc from Mann'!$C$10</definedName>
    <definedName name="total">'Table 1 Feed Rations by Group'!$K$2</definedName>
    <definedName name="TotalGain">'Table 2 Operating Budget'!$C$12</definedName>
    <definedName name="ValueofGain">'Table 2 Operating Budget'!$I$12</definedName>
    <definedName name="whey">'calc from Mann'!$C$11</definedName>
  </definedNames>
  <calcPr calcId="152511"/>
</workbook>
</file>

<file path=xl/calcChain.xml><?xml version="1.0" encoding="utf-8"?>
<calcChain xmlns="http://schemas.openxmlformats.org/spreadsheetml/2006/main">
  <c r="I25" i="2" l="1"/>
  <c r="I24" i="2"/>
  <c r="I23" i="2"/>
  <c r="I22" i="2"/>
  <c r="I21" i="2"/>
  <c r="I20" i="2"/>
  <c r="I19" i="2"/>
  <c r="I18" i="2"/>
  <c r="I17" i="2"/>
  <c r="I16" i="2"/>
  <c r="O21" i="9"/>
  <c r="O20" i="9"/>
  <c r="O19" i="9"/>
  <c r="O18" i="9"/>
  <c r="O17" i="9"/>
  <c r="O16" i="9"/>
  <c r="O15" i="9"/>
  <c r="O14" i="9"/>
  <c r="O13" i="9"/>
  <c r="O12" i="9"/>
  <c r="I2" i="9" l="1"/>
  <c r="K2" i="9" l="1"/>
  <c r="I3" i="9" s="1"/>
  <c r="P22" i="4"/>
  <c r="P21" i="4"/>
  <c r="G25" i="2"/>
  <c r="K25" i="2" s="1"/>
  <c r="M25" i="2" s="1"/>
  <c r="G24" i="2"/>
  <c r="K24" i="2" s="1"/>
  <c r="M24" i="2" s="1"/>
  <c r="G31" i="2"/>
  <c r="K31" i="2" s="1"/>
  <c r="M31" i="2" s="1"/>
  <c r="O31" i="2" s="1"/>
  <c r="E3" i="9" l="1"/>
  <c r="C3" i="9"/>
  <c r="G3" i="9"/>
  <c r="C2" i="3"/>
  <c r="D2" i="3"/>
  <c r="E2" i="3"/>
  <c r="F2" i="3"/>
  <c r="G2" i="3"/>
  <c r="C3" i="3"/>
  <c r="D3" i="3"/>
  <c r="E3" i="3"/>
  <c r="C4" i="3"/>
  <c r="D4" i="3"/>
  <c r="E4" i="3"/>
  <c r="F4" i="3"/>
  <c r="G4" i="3"/>
  <c r="C5" i="3"/>
  <c r="D5" i="3"/>
  <c r="E5" i="3"/>
  <c r="F5" i="3"/>
  <c r="G5" i="3"/>
  <c r="C6" i="3"/>
  <c r="D6" i="3"/>
  <c r="E6" i="3"/>
  <c r="F6" i="3"/>
  <c r="G6" i="3"/>
  <c r="C7" i="3"/>
  <c r="D7" i="3"/>
  <c r="E7" i="3"/>
  <c r="F7" i="3"/>
  <c r="G7" i="3"/>
  <c r="C8" i="3"/>
  <c r="D8" i="3"/>
  <c r="E8" i="3"/>
  <c r="F8" i="3"/>
  <c r="G8" i="3"/>
  <c r="C9" i="3"/>
  <c r="D9" i="3"/>
  <c r="E9" i="3"/>
  <c r="F9" i="3"/>
  <c r="G9" i="3"/>
  <c r="C10" i="3"/>
  <c r="D10" i="3"/>
  <c r="E10" i="3"/>
  <c r="F10" i="3"/>
  <c r="G10" i="3"/>
  <c r="C11" i="3"/>
  <c r="D11" i="3"/>
  <c r="E11" i="3"/>
  <c r="F11" i="3"/>
  <c r="G11" i="3"/>
  <c r="D3" i="5"/>
  <c r="D4" i="5"/>
  <c r="D5" i="5"/>
  <c r="D8" i="5"/>
  <c r="E8" i="5"/>
  <c r="E10" i="5"/>
  <c r="D6" i="5"/>
  <c r="D7" i="5"/>
  <c r="I15" i="1"/>
  <c r="A16" i="1"/>
  <c r="A17" i="1"/>
  <c r="A18" i="1"/>
  <c r="A19" i="1"/>
  <c r="A20" i="1"/>
  <c r="A21" i="1"/>
  <c r="A22" i="1"/>
  <c r="A23" i="1"/>
  <c r="A24" i="1"/>
  <c r="A25" i="1"/>
  <c r="D27" i="1"/>
  <c r="E27" i="1"/>
  <c r="F27" i="1"/>
  <c r="G27" i="1"/>
  <c r="G29" i="1"/>
  <c r="H27" i="1"/>
  <c r="I27" i="1"/>
  <c r="D29" i="1"/>
  <c r="E29" i="1"/>
  <c r="F29" i="1"/>
  <c r="H29" i="1"/>
  <c r="D31" i="1"/>
  <c r="D33" i="1"/>
  <c r="E31" i="1"/>
  <c r="F31" i="1"/>
  <c r="G31" i="1"/>
  <c r="H31" i="1"/>
  <c r="H33" i="1"/>
  <c r="E33" i="1"/>
  <c r="F33" i="1"/>
  <c r="G33" i="1"/>
  <c r="I33" i="1"/>
  <c r="E35" i="1"/>
  <c r="F35" i="1"/>
  <c r="G35" i="1"/>
  <c r="I10" i="4"/>
  <c r="C11" i="4"/>
  <c r="I11" i="4" s="1"/>
  <c r="I9" i="4" s="1"/>
  <c r="I14" i="4"/>
  <c r="P14" i="4"/>
  <c r="I15" i="4"/>
  <c r="P15" i="4" s="1"/>
  <c r="I16" i="4"/>
  <c r="P16" i="4"/>
  <c r="I17" i="4"/>
  <c r="P17" i="4" s="1"/>
  <c r="I20" i="4"/>
  <c r="I19" i="4" s="1"/>
  <c r="P20" i="4"/>
  <c r="I21" i="4"/>
  <c r="I22" i="4"/>
  <c r="I25" i="4"/>
  <c r="L25" i="4"/>
  <c r="M25" i="4" s="1"/>
  <c r="I26" i="4"/>
  <c r="P26" i="4" s="1"/>
  <c r="L26" i="4"/>
  <c r="M26" i="4" s="1"/>
  <c r="I27" i="4"/>
  <c r="L27" i="4"/>
  <c r="M27" i="4" s="1"/>
  <c r="I28" i="4"/>
  <c r="P28" i="4" s="1"/>
  <c r="L28" i="4"/>
  <c r="M28" i="4" s="1"/>
  <c r="I29" i="4"/>
  <c r="L29" i="4"/>
  <c r="M29" i="4" s="1"/>
  <c r="I30" i="4"/>
  <c r="L30" i="4"/>
  <c r="M30" i="4"/>
  <c r="P30" i="4" s="1"/>
  <c r="I31" i="4"/>
  <c r="L31" i="4"/>
  <c r="M31" i="4"/>
  <c r="P31" i="4" s="1"/>
  <c r="I32" i="4"/>
  <c r="P32" i="4" s="1"/>
  <c r="L32" i="4"/>
  <c r="M32" i="4"/>
  <c r="I33" i="4"/>
  <c r="I34" i="4"/>
  <c r="I35" i="4"/>
  <c r="L35" i="4"/>
  <c r="M35" i="4"/>
  <c r="P35" i="4" s="1"/>
  <c r="I36" i="4"/>
  <c r="L36" i="4"/>
  <c r="M36" i="4"/>
  <c r="I37" i="4"/>
  <c r="L37" i="4"/>
  <c r="M37" i="4" s="1"/>
  <c r="P37" i="4" s="1"/>
  <c r="I38" i="4"/>
  <c r="L38" i="4"/>
  <c r="M38" i="4"/>
  <c r="I39" i="4"/>
  <c r="L39" i="4"/>
  <c r="M39" i="4"/>
  <c r="I40" i="4"/>
  <c r="P40" i="4" s="1"/>
  <c r="L40" i="4"/>
  <c r="M40" i="4"/>
  <c r="I41" i="4"/>
  <c r="L41" i="4"/>
  <c r="I42" i="4"/>
  <c r="L42" i="4"/>
  <c r="M42" i="4"/>
  <c r="P42" i="4" s="1"/>
  <c r="I43" i="4"/>
  <c r="L43" i="4"/>
  <c r="M43" i="4"/>
  <c r="P43" i="4" s="1"/>
  <c r="I44" i="4"/>
  <c r="L44" i="4"/>
  <c r="M44" i="4"/>
  <c r="I45" i="4"/>
  <c r="L45" i="4"/>
  <c r="M45" i="4" s="1"/>
  <c r="I49" i="4"/>
  <c r="C12" i="2"/>
  <c r="K12" i="2" s="1"/>
  <c r="G16" i="2"/>
  <c r="K16" i="2" s="1"/>
  <c r="M16" i="2" s="1"/>
  <c r="G17" i="2"/>
  <c r="G18" i="2"/>
  <c r="K18" i="2" s="1"/>
  <c r="M18" i="2" s="1"/>
  <c r="O18" i="2" s="1"/>
  <c r="G19" i="2"/>
  <c r="G20" i="2"/>
  <c r="K20" i="2" s="1"/>
  <c r="M20" i="2" s="1"/>
  <c r="O20" i="2" s="1"/>
  <c r="G21" i="2"/>
  <c r="G22" i="2"/>
  <c r="K22" i="2" s="1"/>
  <c r="M22" i="2" s="1"/>
  <c r="O22" i="2" s="1"/>
  <c r="G23" i="2"/>
  <c r="O24" i="2"/>
  <c r="O25" i="2"/>
  <c r="G28" i="2"/>
  <c r="K28" i="2" s="1"/>
  <c r="G29" i="2"/>
  <c r="G30" i="2"/>
  <c r="K30" i="2" s="1"/>
  <c r="M30" i="2" s="1"/>
  <c r="O30" i="2" s="1"/>
  <c r="G32" i="2"/>
  <c r="K32" i="2" s="1"/>
  <c r="M32" i="2" s="1"/>
  <c r="O32" i="2" s="1"/>
  <c r="G33" i="2"/>
  <c r="K33" i="2" s="1"/>
  <c r="M33" i="2" s="1"/>
  <c r="O33" i="2" s="1"/>
  <c r="G34" i="2"/>
  <c r="K34" i="2" s="1"/>
  <c r="M34" i="2" s="1"/>
  <c r="O34" i="2" s="1"/>
  <c r="G35" i="2"/>
  <c r="K35" i="2" s="1"/>
  <c r="M35" i="2" s="1"/>
  <c r="O35" i="2" s="1"/>
  <c r="G36" i="2"/>
  <c r="K36" i="2" s="1"/>
  <c r="M36" i="2" s="1"/>
  <c r="O36" i="2" s="1"/>
  <c r="G44" i="2"/>
  <c r="C72" i="2"/>
  <c r="E72" i="2"/>
  <c r="G72" i="2"/>
  <c r="K72" i="2"/>
  <c r="G12" i="3"/>
  <c r="L34" i="4"/>
  <c r="M34" i="4" s="1"/>
  <c r="P10" i="4"/>
  <c r="H35" i="1"/>
  <c r="D35" i="1"/>
  <c r="I35" i="1"/>
  <c r="L33" i="4"/>
  <c r="M33" i="4" s="1"/>
  <c r="I48" i="4"/>
  <c r="I47" i="4"/>
  <c r="I45" i="2"/>
  <c r="K45" i="2" s="1"/>
  <c r="M45" i="2" s="1"/>
  <c r="O45" i="2" s="1"/>
  <c r="K17" i="2" l="1"/>
  <c r="M17" i="2" s="1"/>
  <c r="K19" i="2"/>
  <c r="M19" i="2" s="1"/>
  <c r="O19" i="2" s="1"/>
  <c r="K21" i="2"/>
  <c r="M21" i="2" s="1"/>
  <c r="O21" i="2" s="1"/>
  <c r="K23" i="2"/>
  <c r="M23" i="2" s="1"/>
  <c r="O23" i="2" s="1"/>
  <c r="K13" i="9"/>
  <c r="Q13" i="9" s="1"/>
  <c r="S13" i="9" s="1"/>
  <c r="K17" i="9"/>
  <c r="Q17" i="9" s="1"/>
  <c r="S17" i="9" s="1"/>
  <c r="K21" i="9"/>
  <c r="Q21" i="9" s="1"/>
  <c r="S21" i="9" s="1"/>
  <c r="K14" i="9"/>
  <c r="Q14" i="9" s="1"/>
  <c r="S14" i="9" s="1"/>
  <c r="K18" i="9"/>
  <c r="Q18" i="9" s="1"/>
  <c r="S18" i="9" s="1"/>
  <c r="K12" i="9"/>
  <c r="Q12" i="9" s="1"/>
  <c r="K15" i="9"/>
  <c r="Q15" i="9" s="1"/>
  <c r="S15" i="9" s="1"/>
  <c r="K19" i="9"/>
  <c r="Q19" i="9" s="1"/>
  <c r="S19" i="9" s="1"/>
  <c r="K16" i="9"/>
  <c r="Q16" i="9" s="1"/>
  <c r="S16" i="9" s="1"/>
  <c r="K20" i="9"/>
  <c r="Q20" i="9" s="1"/>
  <c r="S20" i="9" s="1"/>
  <c r="K3" i="9"/>
  <c r="O16" i="2"/>
  <c r="P34" i="4"/>
  <c r="P27" i="4"/>
  <c r="P25" i="4"/>
  <c r="P45" i="4"/>
  <c r="P44" i="4"/>
  <c r="P38" i="4"/>
  <c r="P36" i="4"/>
  <c r="P29" i="4"/>
  <c r="L51" i="4"/>
  <c r="P39" i="4"/>
  <c r="I24" i="4"/>
  <c r="K11" i="2"/>
  <c r="M11" i="2" s="1"/>
  <c r="O11" i="2" s="1"/>
  <c r="M12" i="2"/>
  <c r="O12" i="2" s="1"/>
  <c r="M28" i="2"/>
  <c r="P33" i="4"/>
  <c r="I13" i="4"/>
  <c r="I51" i="4" s="1"/>
  <c r="M41" i="4"/>
  <c r="P41" i="4" s="1"/>
  <c r="P11" i="4"/>
  <c r="O17" i="2" l="1"/>
  <c r="M15" i="2"/>
  <c r="S15" i="2" s="1"/>
  <c r="K15" i="2"/>
  <c r="O15" i="2"/>
  <c r="U21" i="9"/>
  <c r="W21" i="9"/>
  <c r="U20" i="9"/>
  <c r="W20" i="9"/>
  <c r="U19" i="9"/>
  <c r="W19" i="9"/>
  <c r="U18" i="9"/>
  <c r="W18" i="9"/>
  <c r="U17" i="9"/>
  <c r="W17" i="9"/>
  <c r="U16" i="9"/>
  <c r="W16" i="9"/>
  <c r="U15" i="9"/>
  <c r="W15" i="9"/>
  <c r="U14" i="9"/>
  <c r="W14" i="9"/>
  <c r="U13" i="9"/>
  <c r="W13" i="9"/>
  <c r="S12" i="9"/>
  <c r="W12" i="9" s="1"/>
  <c r="Q11" i="9"/>
  <c r="P24" i="4"/>
  <c r="P57" i="4" s="1"/>
  <c r="P58" i="4" s="1"/>
  <c r="I29" i="2"/>
  <c r="K29" i="2" s="1"/>
  <c r="M29" i="2" s="1"/>
  <c r="O29" i="2" s="1"/>
  <c r="O28" i="2"/>
  <c r="M51" i="4"/>
  <c r="I52" i="4"/>
  <c r="U12" i="9" l="1"/>
  <c r="S11" i="9"/>
  <c r="M27" i="2"/>
  <c r="M38" i="2" s="1"/>
  <c r="O38" i="2" s="1"/>
  <c r="O27" i="2"/>
  <c r="K27" i="2"/>
  <c r="K38" i="2" s="1"/>
  <c r="K40" i="2" s="1"/>
  <c r="M40" i="2" s="1"/>
  <c r="O40" i="2" s="1"/>
  <c r="I57" i="4"/>
  <c r="I44" i="2"/>
  <c r="K44" i="2" s="1"/>
  <c r="I58" i="4"/>
  <c r="I54" i="4"/>
  <c r="M52" i="4"/>
  <c r="I55" i="4" s="1"/>
  <c r="Z11" i="9" l="1"/>
  <c r="W11" i="9"/>
  <c r="U11" i="9"/>
  <c r="I46" i="2"/>
  <c r="M46" i="2" s="1"/>
  <c r="O46" i="2" s="1"/>
  <c r="I73" i="2"/>
  <c r="C73" i="2"/>
  <c r="G73" i="2"/>
  <c r="K73" i="2"/>
  <c r="E73" i="2"/>
  <c r="F73" i="2"/>
  <c r="M44" i="2"/>
  <c r="K46" i="2" l="1"/>
  <c r="K42" i="2" s="1"/>
  <c r="K49" i="2" s="1"/>
  <c r="K51" i="2" s="1"/>
  <c r="M42" i="2"/>
  <c r="O44" i="2"/>
  <c r="M49" i="2" l="1"/>
  <c r="O42" i="2"/>
  <c r="E74" i="2" l="1"/>
  <c r="I74" i="2"/>
  <c r="C74" i="2"/>
  <c r="G74" i="2"/>
  <c r="K74" i="2"/>
  <c r="O49" i="2"/>
  <c r="O51" i="2" s="1"/>
  <c r="M51" i="2"/>
</calcChain>
</file>

<file path=xl/comments1.xml><?xml version="1.0" encoding="utf-8"?>
<comments xmlns="http://schemas.openxmlformats.org/spreadsheetml/2006/main">
  <authors>
    <author>Painter, Kathleen</author>
  </authors>
  <commentList>
    <comment ref="O12" authorId="0" shapeId="0">
      <text>
        <r>
          <rPr>
            <b/>
            <sz val="9"/>
            <color indexed="81"/>
            <rFont val="Tahoma"/>
            <family val="2"/>
          </rPr>
          <t xml:space="preserve">Feed prices should be changed on the tab marked Feed Prices in order to change prices throughout the spreadsheet.
</t>
        </r>
      </text>
    </comment>
  </commentList>
</comments>
</file>

<file path=xl/comments2.xml><?xml version="1.0" encoding="utf-8"?>
<comments xmlns="http://schemas.openxmlformats.org/spreadsheetml/2006/main">
  <authors>
    <author>Painter, Kathleen</author>
  </authors>
  <commentList>
    <comment ref="I16" authorId="0" shapeId="0">
      <text>
        <r>
          <rPr>
            <b/>
            <sz val="9"/>
            <color indexed="81"/>
            <rFont val="Tahoma"/>
            <family val="2"/>
          </rPr>
          <t xml:space="preserve">Feed prices should be changed on the tab marked Feed Prices in order to change prices throughout the spreadsheet.
</t>
        </r>
      </text>
    </comment>
  </commentList>
</comments>
</file>

<file path=xl/comments3.xml><?xml version="1.0" encoding="utf-8"?>
<comments xmlns="http://schemas.openxmlformats.org/spreadsheetml/2006/main">
  <authors>
    <author>Kate Painter</author>
  </authors>
  <commentList>
    <comment ref="P10" authorId="0" shapeId="0">
      <text>
        <r>
          <rPr>
            <sz val="9"/>
            <color indexed="81"/>
            <rFont val="Tahoma"/>
            <family val="2"/>
          </rPr>
          <t>Land payment only; no depreciation on land.</t>
        </r>
      </text>
    </comment>
    <comment ref="A11" authorId="0" shapeId="0">
      <text>
        <r>
          <rPr>
            <b/>
            <sz val="9"/>
            <color indexed="81"/>
            <rFont val="Tahoma"/>
            <family val="2"/>
          </rPr>
          <t>Kate Painter:</t>
        </r>
        <r>
          <rPr>
            <sz val="9"/>
            <color indexed="81"/>
            <rFont val="Tahoma"/>
            <family val="2"/>
          </rPr>
          <t xml:space="preserve">
includes nutrient management</t>
        </r>
      </text>
    </comment>
    <comment ref="P11" authorId="0" shapeId="0">
      <text>
        <r>
          <rPr>
            <sz val="9"/>
            <color indexed="81"/>
            <rFont val="Tahoma"/>
            <family val="2"/>
          </rPr>
          <t>Payment on loan for improvements on land.</t>
        </r>
      </text>
    </comment>
    <comment ref="A16" authorId="0" shapeId="0">
      <text>
        <r>
          <rPr>
            <b/>
            <sz val="9"/>
            <color indexed="81"/>
            <rFont val="Tahoma"/>
            <family val="2"/>
          </rPr>
          <t>Kate Painter:</t>
        </r>
        <r>
          <rPr>
            <sz val="9"/>
            <color indexed="81"/>
            <rFont val="Tahoma"/>
            <family val="2"/>
          </rPr>
          <t xml:space="preserve">
180' x 50' with 8"
 gravel base</t>
        </r>
      </text>
    </comment>
  </commentList>
</comments>
</file>

<file path=xl/sharedStrings.xml><?xml version="1.0" encoding="utf-8"?>
<sst xmlns="http://schemas.openxmlformats.org/spreadsheetml/2006/main" count="359" uniqueCount="212">
  <si>
    <t>Feed Ingredient</t>
  </si>
  <si>
    <t>Alfalfa hay</t>
  </si>
  <si>
    <t>Straw</t>
  </si>
  <si>
    <t>Mint Silage</t>
  </si>
  <si>
    <t>Corn Distillers</t>
  </si>
  <si>
    <t>Ground Corn</t>
  </si>
  <si>
    <t>Whey</t>
  </si>
  <si>
    <t>Potato Cake</t>
  </si>
  <si>
    <t>Dry Mineral</t>
  </si>
  <si>
    <t>Type</t>
  </si>
  <si>
    <t>R</t>
  </si>
  <si>
    <t>C</t>
  </si>
  <si>
    <t>$/ton</t>
  </si>
  <si>
    <t>Corn Silage</t>
  </si>
  <si>
    <t>Potato Peel</t>
  </si>
  <si>
    <t>Growing-2A</t>
  </si>
  <si>
    <t>Receiving 1</t>
  </si>
  <si>
    <t>Growing-2B</t>
  </si>
  <si>
    <t>Breeding-3</t>
  </si>
  <si>
    <t>Bred-4</t>
  </si>
  <si>
    <t>Ration: lb/head/day</t>
  </si>
  <si>
    <t>Total lb</t>
  </si>
  <si>
    <t>lb DMI</t>
  </si>
  <si>
    <t>%DM</t>
  </si>
  <si>
    <t>Total</t>
  </si>
  <si>
    <t>Cost/hd/day</t>
  </si>
  <si>
    <t>Est. ADG</t>
  </si>
  <si>
    <t>Cost/lb gain</t>
  </si>
  <si>
    <t>Total feed cost/day</t>
  </si>
  <si>
    <t>Wted. Average:</t>
  </si>
  <si>
    <t>NUMBER OF COWS:</t>
  </si>
  <si>
    <t>Quantity</t>
  </si>
  <si>
    <t>No. of</t>
  </si>
  <si>
    <t>Price or</t>
  </si>
  <si>
    <t>Value or</t>
  </si>
  <si>
    <t>Item</t>
  </si>
  <si>
    <t>Per Head</t>
  </si>
  <si>
    <t>Unit</t>
  </si>
  <si>
    <t>Cost</t>
  </si>
  <si>
    <t>Cost/Dairy</t>
  </si>
  <si>
    <t>Cost/Head/Yr</t>
  </si>
  <si>
    <t>Cost/Head/Day</t>
  </si>
  <si>
    <t>Income:</t>
  </si>
  <si>
    <t>head</t>
  </si>
  <si>
    <t>Operating Costs:</t>
  </si>
  <si>
    <t>Feed  (ton/head/yr):</t>
  </si>
  <si>
    <t>Other costs:</t>
  </si>
  <si>
    <t>Labor, including fringe costs</t>
  </si>
  <si>
    <t>Veterinary, breeding, testing</t>
  </si>
  <si>
    <t>Supplies</t>
  </si>
  <si>
    <t>Repairs and maintenance</t>
  </si>
  <si>
    <t>Utilities</t>
  </si>
  <si>
    <t>Miscellaneous (fuel, insur., etc.)</t>
  </si>
  <si>
    <t>Interest</t>
  </si>
  <si>
    <t>Total Operating Costs</t>
  </si>
  <si>
    <t>Net Returns Above Variable Costs</t>
  </si>
  <si>
    <t>Fixed Costs:</t>
  </si>
  <si>
    <t>Capital recovery*</t>
  </si>
  <si>
    <t>Insurance*</t>
  </si>
  <si>
    <t>herd</t>
  </si>
  <si>
    <t>Overhead (2.5% Oper Costs)</t>
  </si>
  <si>
    <t>*See Table 2.</t>
  </si>
  <si>
    <t>Total Costs (Operating and Fixed)</t>
  </si>
  <si>
    <t>Net Returns Above Total Costs</t>
  </si>
  <si>
    <t>http://web.cals.uidaho.edu/idahoagbiz/enterprise-budgets/</t>
  </si>
  <si>
    <t>No. of head</t>
  </si>
  <si>
    <t>for 10000</t>
  </si>
  <si>
    <t>ton/mo</t>
  </si>
  <si>
    <t>ton/year</t>
  </si>
  <si>
    <t xml:space="preserve">Years </t>
  </si>
  <si>
    <t>Salvage</t>
  </si>
  <si>
    <t xml:space="preserve">Discount </t>
  </si>
  <si>
    <t>Capital</t>
  </si>
  <si>
    <t>Per Dairy</t>
  </si>
  <si>
    <t>of Life</t>
  </si>
  <si>
    <t>Value</t>
  </si>
  <si>
    <t>Rate</t>
  </si>
  <si>
    <t>Recovery</t>
  </si>
  <si>
    <t xml:space="preserve"> (n)</t>
  </si>
  <si>
    <t>($/head)</t>
  </si>
  <si>
    <t>($/herd)</t>
  </si>
  <si>
    <t>(i)</t>
  </si>
  <si>
    <t>Factor</t>
  </si>
  <si>
    <t>Initial Capital Outlays:</t>
  </si>
  <si>
    <t>hd</t>
  </si>
  <si>
    <t>Land:</t>
  </si>
  <si>
    <t>Land purchase</t>
  </si>
  <si>
    <t>ac</t>
  </si>
  <si>
    <t>Site Prep: Permits, well, roads</t>
  </si>
  <si>
    <t>Feeding Facilities:</t>
  </si>
  <si>
    <t>Scales</t>
  </si>
  <si>
    <t>farm</t>
  </si>
  <si>
    <t>Hay storage (1,200 tons)</t>
  </si>
  <si>
    <t>Hay tarps, 50' x 50'</t>
  </si>
  <si>
    <t>stack</t>
  </si>
  <si>
    <t>Machinery:</t>
  </si>
  <si>
    <t>Total:</t>
  </si>
  <si>
    <t>Farm pickups, new</t>
  </si>
  <si>
    <t>Farm pickups, used</t>
  </si>
  <si>
    <t>10-wheel truck (manure removal)</t>
  </si>
  <si>
    <t>Tractor-125 HP</t>
  </si>
  <si>
    <t>Straw Spreader</t>
  </si>
  <si>
    <t>Loaders, used</t>
  </si>
  <si>
    <t>Skid steer loader</t>
  </si>
  <si>
    <t>Telehandler loader</t>
  </si>
  <si>
    <t>Semis, with feedbox mixers, used</t>
  </si>
  <si>
    <t>Dump truck</t>
  </si>
  <si>
    <t>Boxscraper</t>
  </si>
  <si>
    <t>Brush hog, 10'</t>
  </si>
  <si>
    <t>Gooseneck trailer, 28'</t>
  </si>
  <si>
    <t>Miscellaneous</t>
  </si>
  <si>
    <t>Insurance:</t>
  </si>
  <si>
    <t>Liability Insur. ($1 million coverage)</t>
  </si>
  <si>
    <t>Total Capital Costs</t>
  </si>
  <si>
    <t>Capital Costs per Head</t>
  </si>
  <si>
    <t>Average Capital Costs (Purchase - Salvage Value)/2</t>
  </si>
  <si>
    <t>Average Capital Costs per Head</t>
  </si>
  <si>
    <t>Total Capital Recovery Costs</t>
  </si>
  <si>
    <t>Capital Recovery Costs per Head</t>
  </si>
  <si>
    <t>Death loss</t>
  </si>
  <si>
    <t>Generators</t>
  </si>
  <si>
    <t>JD gators</t>
  </si>
  <si>
    <t>Tractor-180 HP</t>
  </si>
  <si>
    <t>Tractor-145 HP</t>
  </si>
  <si>
    <t>Tractor-110 HP</t>
  </si>
  <si>
    <t>Tractor-65 HP</t>
  </si>
  <si>
    <t>Tractor-95 HP</t>
  </si>
  <si>
    <t>Commodity shed, 4 bays</t>
  </si>
  <si>
    <t>Shop</t>
  </si>
  <si>
    <t>Fuel Storage</t>
  </si>
  <si>
    <t>Corrals, pens</t>
  </si>
  <si>
    <t>Buildings &amp; improvements</t>
  </si>
  <si>
    <t>Insur., facilities &amp; mach. @ $6/$1,000</t>
  </si>
  <si>
    <t>ton per head per year</t>
  </si>
  <si>
    <t>total lb per day</t>
  </si>
  <si>
    <t>lb per head per day</t>
  </si>
  <si>
    <t>quote on new fuel storage tanks:</t>
  </si>
  <si>
    <t>capacity</t>
  </si>
  <si>
    <t>no.</t>
  </si>
  <si>
    <t>total</t>
  </si>
  <si>
    <t>50% of new:</t>
  </si>
  <si>
    <t>total from used market online</t>
  </si>
  <si>
    <t>average of two</t>
  </si>
  <si>
    <t xml:space="preserve">Note: The two larger capacity tanks are for actually dispensing fuel so they have </t>
  </si>
  <si>
    <t>additional parts.</t>
  </si>
  <si>
    <t>Springers per head</t>
  </si>
  <si>
    <t>Calf source heifer-raising facility in DePere, WI (Photo: Vitaplus.com)</t>
  </si>
  <si>
    <t>in Southern Idaho</t>
  </si>
  <si>
    <t>Kathleen Painter</t>
  </si>
  <si>
    <t>and</t>
  </si>
  <si>
    <t>kpainter@uidaho.edu</t>
  </si>
  <si>
    <t>Moscow, ID</t>
  </si>
  <si>
    <t>Costs and Returns for a 10,000-Head Heifer Raising Facility</t>
  </si>
  <si>
    <r>
      <t>Cost</t>
    </r>
    <r>
      <rPr>
        <vertAlign val="superscript"/>
        <sz val="12"/>
        <rFont val="Arial"/>
        <family val="2"/>
      </rPr>
      <t>1</t>
    </r>
  </si>
  <si>
    <t>(509) 432-5755</t>
  </si>
  <si>
    <t>Breakeven Price and Yield</t>
  </si>
  <si>
    <t>Breakeven Market Prices ($/head):</t>
  </si>
  <si>
    <t>Mortality</t>
  </si>
  <si>
    <t>&amp; Cull Rate</t>
  </si>
  <si>
    <t>This study's</t>
  </si>
  <si>
    <t>assumption:</t>
  </si>
  <si>
    <t>Operating Cost Breakeven</t>
  </si>
  <si>
    <t>Total Cost Breakeven</t>
  </si>
  <si>
    <t>EBB-DR2-14</t>
  </si>
  <si>
    <t>2014 price for springing heifers</t>
  </si>
  <si>
    <r>
      <t>Richard Norell</t>
    </r>
    <r>
      <rPr>
        <vertAlign val="superscript"/>
        <sz val="10"/>
        <rFont val="Arial"/>
        <family val="2"/>
      </rPr>
      <t>1</t>
    </r>
  </si>
  <si>
    <r>
      <rPr>
        <vertAlign val="superscript"/>
        <sz val="11"/>
        <color indexed="8"/>
        <rFont val="Calibri"/>
        <family val="2"/>
      </rPr>
      <t>1</t>
    </r>
    <r>
      <rPr>
        <sz val="11"/>
        <color theme="1"/>
        <rFont val="Calibri"/>
        <family val="2"/>
        <scheme val="minor"/>
      </rPr>
      <t xml:space="preserve">Authors are an Extension agricultural economist and an Extension dairy specialist, respectively, </t>
    </r>
  </si>
  <si>
    <t>with the University of Idaho.</t>
  </si>
  <si>
    <t>rnorell@uidaho.edu</t>
  </si>
  <si>
    <t>(208) 529-8376</t>
  </si>
  <si>
    <t>Idaho Falls, ID</t>
  </si>
  <si>
    <t>Heifers</t>
  </si>
  <si>
    <t>Feeder hay</t>
  </si>
  <si>
    <t>Pushout</t>
  </si>
  <si>
    <t>Canola</t>
  </si>
  <si>
    <t>Distillers</t>
  </si>
  <si>
    <t>Barley</t>
  </si>
  <si>
    <t>Beet pulp</t>
  </si>
  <si>
    <t>Ryegrass pellets</t>
  </si>
  <si>
    <t>Heifer molasses</t>
  </si>
  <si>
    <t>Corn silage, 33% DM, 15% shrink</t>
  </si>
  <si>
    <t>(lb/day)</t>
  </si>
  <si>
    <t>($/ton)</t>
  </si>
  <si>
    <t>Table 2: Annual Enterprise Budget for a 10,000-Head Custom Heifer Raising Facility</t>
  </si>
  <si>
    <t>Table 3. Capital Costs for 10,000-Head Custom Heifer Raising Facility in Southern Idaho</t>
  </si>
  <si>
    <t>Table 1: Feed Rations by Stage of Growth for a 10,000-Head Custom Heifer Raising Facility</t>
  </si>
  <si>
    <t>Small</t>
  </si>
  <si>
    <t>Pre-</t>
  </si>
  <si>
    <t>Breeding</t>
  </si>
  <si>
    <t>Pregnant</t>
  </si>
  <si>
    <t>Feed  (lb/head/yr):</t>
  </si>
  <si>
    <t>Small heifers</t>
  </si>
  <si>
    <t>Pre-breeding</t>
  </si>
  <si>
    <t>Pregnant heifers</t>
  </si>
  <si>
    <t>Average</t>
  </si>
  <si>
    <t>All</t>
  </si>
  <si>
    <t>% by category:</t>
  </si>
  <si>
    <t>Annual</t>
  </si>
  <si>
    <t>Cost/Head</t>
  </si>
  <si>
    <t>Daily</t>
  </si>
  <si>
    <t>Price/unit</t>
  </si>
  <si>
    <t>Feed:</t>
  </si>
  <si>
    <t>ton</t>
  </si>
  <si>
    <t>Feed Prices</t>
  </si>
  <si>
    <t>Change values in red type to make global changes.</t>
  </si>
  <si>
    <t>Feed prices (green type) need to be changed on the Feed Prices tab.</t>
  </si>
  <si>
    <t>Make any feed price changes here, and their values will change throughout the spreadsheet.</t>
  </si>
  <si>
    <t>07-15 (revised)</t>
  </si>
  <si>
    <t>Budget spreadsheets are available at the following links:</t>
  </si>
  <si>
    <t>http://www.tinyurl.com/IdahoDairyBudgets</t>
  </si>
  <si>
    <t>Feed Costs by Growth Stage</t>
  </si>
  <si>
    <t>Fixed costs (blue type) are generated from Table 3, Capital Costs, and need to be updated on that tab.</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</si>
</sst>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
    <numFmt numFmtId="168" formatCode="0.000%"/>
    <numFmt numFmtId="169" formatCode="0.0%"/>
    <numFmt numFmtId="170" formatCode="&quot;$&quot;#,##0.000"/>
  </numFmts>
  <fonts count="55" x14ac:knownFonts="1">
    <font>
      <sz val="11"/>
      <color theme="1"/>
      <name val="Calibri"/>
      <family val="2"/>
      <scheme val="minor"/>
    </font>
    <font>
      <sz val="12"/>
      <name val="Arial"/>
      <family val="2"/>
    </font>
    <font>
      <b/>
      <u/>
      <sz val="10"/>
      <name val="Arial"/>
      <family val="2"/>
    </font>
    <font>
      <b/>
      <sz val="10"/>
      <name val="Arial"/>
      <family val="2"/>
    </font>
    <font>
      <sz val="10"/>
      <name val="Arial"/>
      <family val="2"/>
    </font>
    <font>
      <u/>
      <sz val="10"/>
      <color indexed="12"/>
      <name val="Arial"/>
      <family val="2"/>
    </font>
    <font>
      <b/>
      <sz val="9"/>
      <color indexed="81"/>
      <name val="Tahoma"/>
      <family val="2"/>
    </font>
    <font>
      <sz val="9"/>
      <color indexed="81"/>
      <name val="Tahoma"/>
      <family val="2"/>
    </font>
    <font>
      <vertAlign val="superscript"/>
      <sz val="10"/>
      <name val="Arial"/>
      <family val="2"/>
    </font>
    <font>
      <vertAlign val="superscript"/>
      <sz val="11"/>
      <color indexed="8"/>
      <name val="Calibri"/>
      <family val="2"/>
    </font>
    <font>
      <vertAlign val="superscript"/>
      <sz val="12"/>
      <name val="Arial"/>
      <family val="2"/>
    </font>
    <font>
      <b/>
      <sz val="12"/>
      <name val="Arial"/>
      <family val="2"/>
    </font>
    <font>
      <u/>
      <sz val="12"/>
      <name val="Arial"/>
      <family val="2"/>
    </font>
    <font>
      <sz val="11"/>
      <color theme="1"/>
      <name val="Calibri"/>
      <family val="2"/>
      <scheme val="minor"/>
    </font>
    <font>
      <sz val="11"/>
      <color theme="0"/>
      <name val="Calibri"/>
      <family val="2"/>
      <scheme val="minor"/>
    </font>
    <font>
      <b/>
      <sz val="11"/>
      <color theme="0"/>
      <name val="Calibri"/>
      <family val="2"/>
      <scheme val="minor"/>
    </font>
    <font>
      <i/>
      <sz val="11"/>
      <color rgb="FF7F7F7F"/>
      <name val="Calibri"/>
      <family val="2"/>
      <scheme val="minor"/>
    </font>
    <font>
      <b/>
      <sz val="15"/>
      <color theme="3"/>
      <name val="Calibri"/>
      <family val="2"/>
      <scheme val="minor"/>
    </font>
    <font>
      <b/>
      <sz val="11"/>
      <color theme="3"/>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color rgb="FFFF0000"/>
      <name val="Arial"/>
      <family val="2"/>
    </font>
    <font>
      <sz val="11"/>
      <name val="Calibri"/>
      <family val="2"/>
      <scheme val="minor"/>
    </font>
    <font>
      <sz val="10"/>
      <color rgb="FF0070C0"/>
      <name val="Arial"/>
      <family val="2"/>
    </font>
    <font>
      <b/>
      <sz val="10"/>
      <color theme="5" tint="-0.499984740745262"/>
      <name val="Arial"/>
      <family val="2"/>
    </font>
    <font>
      <sz val="11"/>
      <color theme="5" tint="-0.499984740745262"/>
      <name val="Calibri"/>
      <family val="2"/>
      <scheme val="minor"/>
    </font>
    <font>
      <b/>
      <sz val="11"/>
      <color theme="5" tint="-0.499984740745262"/>
      <name val="Calibri"/>
      <family val="2"/>
      <scheme val="minor"/>
    </font>
    <font>
      <b/>
      <sz val="14"/>
      <color theme="3"/>
      <name val="Arial"/>
      <family val="2"/>
    </font>
    <font>
      <sz val="12"/>
      <color theme="5" tint="-0.499984740745262"/>
      <name val="Calibri"/>
      <family val="2"/>
      <scheme val="minor"/>
    </font>
    <font>
      <b/>
      <sz val="12"/>
      <color theme="5" tint="-0.499984740745262"/>
      <name val="Calibri"/>
      <family val="2"/>
      <scheme val="minor"/>
    </font>
    <font>
      <sz val="10"/>
      <color theme="1"/>
      <name val="Arial"/>
      <family val="2"/>
    </font>
    <font>
      <sz val="9"/>
      <color theme="1"/>
      <name val="Arial"/>
      <family val="2"/>
    </font>
    <font>
      <sz val="9"/>
      <color theme="1"/>
      <name val="Calibri"/>
      <family val="2"/>
      <scheme val="minor"/>
    </font>
    <font>
      <sz val="12"/>
      <name val="Calibri"/>
      <family val="2"/>
      <scheme val="minor"/>
    </font>
    <font>
      <sz val="12"/>
      <color theme="1"/>
      <name val="Calibri"/>
      <family val="2"/>
      <scheme val="minor"/>
    </font>
    <font>
      <b/>
      <u/>
      <sz val="11"/>
      <name val="Calibri"/>
      <family val="2"/>
      <scheme val="minor"/>
    </font>
    <font>
      <b/>
      <sz val="11"/>
      <name val="Calibri"/>
      <family val="2"/>
      <scheme val="minor"/>
    </font>
    <font>
      <sz val="11"/>
      <color rgb="FF0070C0"/>
      <name val="Calibri"/>
      <family val="2"/>
      <scheme val="minor"/>
    </font>
    <font>
      <sz val="10"/>
      <color theme="1"/>
      <name val="Arial Unicode MS"/>
      <family val="2"/>
    </font>
    <font>
      <b/>
      <i/>
      <sz val="11"/>
      <color theme="1"/>
      <name val="Calibri"/>
      <family val="2"/>
      <scheme val="minor"/>
    </font>
    <font>
      <b/>
      <sz val="12"/>
      <color theme="3"/>
      <name val="Calibri"/>
      <family val="2"/>
      <scheme val="minor"/>
    </font>
    <font>
      <b/>
      <sz val="16"/>
      <name val="Cambria"/>
      <family val="2"/>
      <scheme val="major"/>
    </font>
    <font>
      <sz val="12"/>
      <color theme="1"/>
      <name val="Arial"/>
      <family val="2"/>
    </font>
    <font>
      <b/>
      <sz val="12"/>
      <color theme="1"/>
      <name val="Calibri"/>
      <family val="2"/>
      <scheme val="minor"/>
    </font>
    <font>
      <b/>
      <i/>
      <sz val="12"/>
      <name val="Calibri"/>
      <family val="2"/>
      <scheme val="minor"/>
    </font>
    <font>
      <b/>
      <sz val="12"/>
      <color rgb="FFFF0000"/>
      <name val="Calibri"/>
      <family val="2"/>
      <scheme val="minor"/>
    </font>
    <font>
      <sz val="10"/>
      <color rgb="FFFF0000"/>
      <name val="Arial"/>
      <family val="2"/>
    </font>
    <font>
      <sz val="10"/>
      <color indexed="10"/>
      <name val="Arial"/>
      <family val="2"/>
    </font>
    <font>
      <i/>
      <sz val="10"/>
      <color rgb="FFFF0000"/>
      <name val="Arial"/>
      <family val="2"/>
    </font>
    <font>
      <b/>
      <sz val="10"/>
      <color rgb="FF00B050"/>
      <name val="Arial"/>
      <family val="2"/>
    </font>
    <font>
      <i/>
      <sz val="11"/>
      <color rgb="FFFF0000"/>
      <name val="Calibri"/>
      <family val="2"/>
      <scheme val="minor"/>
    </font>
    <font>
      <i/>
      <sz val="11"/>
      <color rgb="FF00B050"/>
      <name val="Calibri"/>
      <family val="2"/>
      <scheme val="minor"/>
    </font>
    <font>
      <b/>
      <i/>
      <sz val="11"/>
      <color rgb="FF00B050"/>
      <name val="Calibri"/>
      <family val="2"/>
      <scheme val="minor"/>
    </font>
    <font>
      <b/>
      <i/>
      <sz val="11"/>
      <color rgb="FF00B0F0"/>
      <name val="Calibri"/>
      <family val="2"/>
      <scheme val="minor"/>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patternFill>
    </fill>
    <fill>
      <patternFill patternType="solid">
        <fgColor theme="9"/>
      </patternFill>
    </fill>
    <fill>
      <patternFill patternType="solid">
        <fgColor rgb="FFFFFFCC"/>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s>
  <cellStyleXfs count="15">
    <xf numFmtId="0" fontId="0" fillId="0" borderId="0"/>
    <xf numFmtId="0" fontId="13"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0" fontId="17" fillId="0" borderId="4" applyNumberFormat="0" applyFill="0" applyAlignment="0" applyProtection="0"/>
    <xf numFmtId="0" fontId="18" fillId="0" borderId="0" applyNumberFormat="0" applyFill="0" applyBorder="0" applyAlignment="0" applyProtection="0"/>
    <xf numFmtId="0" fontId="5" fillId="0" borderId="0" applyNumberFormat="0" applyFill="0" applyBorder="0" applyAlignment="0" applyProtection="0">
      <alignment vertical="top"/>
      <protection locked="0"/>
    </xf>
    <xf numFmtId="0" fontId="4" fillId="0" borderId="0"/>
    <xf numFmtId="0" fontId="13" fillId="9" borderId="5" applyNumberFormat="0" applyFont="0" applyAlignment="0" applyProtection="0"/>
    <xf numFmtId="9" fontId="13" fillId="0" borderId="0" applyFont="0" applyFill="0" applyBorder="0" applyAlignment="0" applyProtection="0"/>
    <xf numFmtId="0" fontId="19" fillId="0" borderId="0" applyNumberFormat="0" applyFill="0" applyBorder="0" applyAlignment="0" applyProtection="0"/>
  </cellStyleXfs>
  <cellXfs count="362">
    <xf numFmtId="0" fontId="0" fillId="0" borderId="0" xfId="0"/>
    <xf numFmtId="0" fontId="14" fillId="7" borderId="0" xfId="3"/>
    <xf numFmtId="0" fontId="13" fillId="5" borderId="0" xfId="1"/>
    <xf numFmtId="0" fontId="14" fillId="8" borderId="0" xfId="4"/>
    <xf numFmtId="0" fontId="15" fillId="8" borderId="0" xfId="4" applyFont="1"/>
    <xf numFmtId="0" fontId="14" fillId="8" borderId="0" xfId="4" applyAlignment="1">
      <alignment horizontal="center"/>
    </xf>
    <xf numFmtId="2" fontId="0" fillId="0" borderId="0" xfId="0" applyNumberFormat="1"/>
    <xf numFmtId="2" fontId="0" fillId="0" borderId="0" xfId="0" applyNumberFormat="1" applyAlignment="1">
      <alignment horizontal="center"/>
    </xf>
    <xf numFmtId="0" fontId="0" fillId="0" borderId="0" xfId="0" applyBorder="1"/>
    <xf numFmtId="2" fontId="0" fillId="0" borderId="0" xfId="0" applyNumberFormat="1" applyBorder="1" applyAlignment="1">
      <alignment horizontal="center"/>
    </xf>
    <xf numFmtId="0" fontId="0" fillId="0" borderId="1" xfId="0" applyBorder="1"/>
    <xf numFmtId="0" fontId="0" fillId="0" borderId="0" xfId="0" applyAlignment="1"/>
    <xf numFmtId="0" fontId="0" fillId="0" borderId="0" xfId="0" applyBorder="1" applyAlignment="1">
      <alignment horizontal="center"/>
    </xf>
    <xf numFmtId="0" fontId="0" fillId="0" borderId="0" xfId="0" applyAlignment="1">
      <alignment horizontal="center"/>
    </xf>
    <xf numFmtId="9" fontId="13" fillId="0" borderId="0" xfId="13" applyFont="1" applyAlignment="1">
      <alignment horizontal="center"/>
    </xf>
    <xf numFmtId="10" fontId="13" fillId="0" borderId="0" xfId="13" applyNumberFormat="1" applyFont="1" applyAlignment="1">
      <alignment horizontal="center"/>
    </xf>
    <xf numFmtId="164" fontId="14" fillId="8" borderId="0" xfId="5" applyNumberFormat="1" applyFont="1" applyFill="1" applyAlignment="1">
      <alignment horizontal="center"/>
    </xf>
    <xf numFmtId="9" fontId="15" fillId="8" borderId="1" xfId="13" applyFont="1" applyFill="1" applyBorder="1" applyAlignment="1">
      <alignment horizontal="center"/>
    </xf>
    <xf numFmtId="165" fontId="0" fillId="0" borderId="0" xfId="0" applyNumberFormat="1" applyAlignment="1">
      <alignment horizontal="center"/>
    </xf>
    <xf numFmtId="165" fontId="0" fillId="0" borderId="0" xfId="0" applyNumberFormat="1"/>
    <xf numFmtId="165" fontId="0" fillId="0" borderId="1" xfId="0" applyNumberFormat="1" applyBorder="1" applyAlignment="1">
      <alignment horizontal="center"/>
    </xf>
    <xf numFmtId="165" fontId="0" fillId="0" borderId="1" xfId="0" applyNumberFormat="1" applyBorder="1"/>
    <xf numFmtId="9" fontId="14" fillId="8" borderId="0" xfId="13" applyFont="1" applyFill="1" applyAlignment="1">
      <alignment horizontal="center"/>
    </xf>
    <xf numFmtId="164" fontId="13" fillId="0" borderId="0" xfId="5" applyNumberFormat="1" applyFont="1"/>
    <xf numFmtId="0" fontId="0" fillId="0" borderId="0" xfId="0" applyAlignment="1">
      <alignment horizontal="center" vertical="center"/>
    </xf>
    <xf numFmtId="0" fontId="0" fillId="0" borderId="0" xfId="0" applyFill="1"/>
    <xf numFmtId="0" fontId="18" fillId="0" borderId="0" xfId="9" applyAlignment="1">
      <alignment horizontal="right"/>
    </xf>
    <xf numFmtId="0" fontId="22" fillId="2" borderId="2" xfId="0" applyFont="1" applyFill="1" applyBorder="1"/>
    <xf numFmtId="0" fontId="1" fillId="2" borderId="0" xfId="0" applyFont="1" applyFill="1"/>
    <xf numFmtId="0" fontId="1" fillId="2" borderId="0" xfId="0"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center" vertical="center"/>
    </xf>
    <xf numFmtId="0" fontId="1" fillId="3" borderId="0" xfId="0" applyFont="1" applyFill="1" applyAlignment="1">
      <alignment horizontal="center"/>
    </xf>
    <xf numFmtId="0" fontId="0" fillId="10" borderId="0" xfId="0" applyFill="1"/>
    <xf numFmtId="0" fontId="1" fillId="3" borderId="3" xfId="0" applyFont="1" applyFill="1" applyBorder="1" applyAlignment="1">
      <alignment horizontal="center"/>
    </xf>
    <xf numFmtId="0" fontId="0" fillId="10" borderId="3" xfId="0" applyFill="1" applyBorder="1"/>
    <xf numFmtId="0" fontId="1" fillId="2" borderId="0" xfId="0" applyFont="1" applyFill="1" applyBorder="1" applyAlignment="1">
      <alignment horizontal="center"/>
    </xf>
    <xf numFmtId="0" fontId="1" fillId="3" borderId="0" xfId="0" applyFont="1" applyFill="1" applyBorder="1" applyAlignment="1">
      <alignment horizontal="center"/>
    </xf>
    <xf numFmtId="0" fontId="0" fillId="10" borderId="0" xfId="0" applyFill="1" applyBorder="1"/>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 vertical="center"/>
    </xf>
    <xf numFmtId="0" fontId="0" fillId="3" borderId="1" xfId="0" applyFill="1" applyBorder="1"/>
    <xf numFmtId="0" fontId="0" fillId="10" borderId="1" xfId="0" applyFill="1" applyBorder="1"/>
    <xf numFmtId="0" fontId="0" fillId="2" borderId="0" xfId="0" applyFill="1" applyBorder="1"/>
    <xf numFmtId="0" fontId="0" fillId="2" borderId="0" xfId="0" applyFill="1" applyBorder="1" applyAlignment="1">
      <alignment horizontal="center" vertical="center"/>
    </xf>
    <xf numFmtId="165" fontId="0" fillId="2" borderId="0" xfId="0" applyNumberFormat="1" applyFill="1" applyBorder="1"/>
    <xf numFmtId="165" fontId="0" fillId="3" borderId="0" xfId="0" applyNumberFormat="1" applyFill="1" applyBorder="1" applyProtection="1"/>
    <xf numFmtId="0" fontId="2" fillId="2" borderId="0" xfId="0" applyFont="1" applyFill="1"/>
    <xf numFmtId="0" fontId="0" fillId="2" borderId="0" xfId="0" applyFill="1"/>
    <xf numFmtId="0" fontId="0" fillId="2" borderId="0" xfId="0" applyFill="1" applyAlignment="1">
      <alignment horizontal="center" vertical="center"/>
    </xf>
    <xf numFmtId="165" fontId="0" fillId="2" borderId="0" xfId="0" applyNumberFormat="1" applyFill="1"/>
    <xf numFmtId="166" fontId="20" fillId="3" borderId="0" xfId="0" applyNumberFormat="1" applyFont="1" applyFill="1" applyAlignment="1" applyProtection="1">
      <alignment horizontal="left"/>
    </xf>
    <xf numFmtId="165" fontId="20" fillId="3" borderId="0" xfId="0" applyNumberFormat="1" applyFont="1" applyFill="1" applyAlignment="1" applyProtection="1">
      <alignment horizontal="left"/>
    </xf>
    <xf numFmtId="0" fontId="20" fillId="10" borderId="0" xfId="0" applyFont="1" applyFill="1"/>
    <xf numFmtId="0" fontId="23" fillId="0" borderId="0" xfId="0" applyFont="1" applyProtection="1">
      <protection locked="0"/>
    </xf>
    <xf numFmtId="0" fontId="0" fillId="2" borderId="0" xfId="0" applyFont="1" applyFill="1"/>
    <xf numFmtId="0" fontId="0" fillId="0" borderId="0" xfId="0" applyFont="1" applyProtection="1">
      <protection locked="0"/>
    </xf>
    <xf numFmtId="0" fontId="0" fillId="0" borderId="0" xfId="0" applyFont="1" applyAlignment="1" applyProtection="1">
      <alignment horizontal="center" vertical="center"/>
      <protection locked="0"/>
    </xf>
    <xf numFmtId="166" fontId="0" fillId="3" borderId="0" xfId="0" applyNumberFormat="1" applyFill="1" applyAlignment="1" applyProtection="1">
      <alignment horizontal="right" indent="2"/>
    </xf>
    <xf numFmtId="165" fontId="0" fillId="3" borderId="0" xfId="0" applyNumberFormat="1" applyFont="1" applyFill="1" applyAlignment="1" applyProtection="1">
      <alignment horizontal="right"/>
    </xf>
    <xf numFmtId="165" fontId="0" fillId="3" borderId="0" xfId="0" applyNumberFormat="1" applyFill="1" applyAlignment="1" applyProtection="1">
      <alignment horizontal="right"/>
    </xf>
    <xf numFmtId="166" fontId="0" fillId="3" borderId="0" xfId="0" applyNumberFormat="1" applyFill="1" applyProtection="1"/>
    <xf numFmtId="165" fontId="0" fillId="3" borderId="0" xfId="0" applyNumberFormat="1" applyFill="1" applyProtection="1"/>
    <xf numFmtId="0" fontId="2" fillId="2" borderId="0" xfId="0" applyFont="1" applyFill="1" applyBorder="1"/>
    <xf numFmtId="0" fontId="3" fillId="2" borderId="0" xfId="0" applyFont="1" applyFill="1"/>
    <xf numFmtId="0" fontId="0" fillId="0" borderId="0" xfId="0" applyProtection="1">
      <protection locked="0"/>
    </xf>
    <xf numFmtId="2" fontId="0" fillId="0" borderId="0" xfId="0" applyNumberFormat="1" applyAlignment="1" applyProtection="1">
      <alignment horizontal="right" indent="1"/>
      <protection locked="0"/>
    </xf>
    <xf numFmtId="43" fontId="13" fillId="2" borderId="0" xfId="5" applyFont="1" applyFill="1" applyAlignment="1">
      <alignment horizontal="center"/>
    </xf>
    <xf numFmtId="0" fontId="0" fillId="0" borderId="0" xfId="0" applyAlignment="1" applyProtection="1">
      <alignment horizontal="center" vertical="center"/>
      <protection locked="0"/>
    </xf>
    <xf numFmtId="165" fontId="24" fillId="0" borderId="0" xfId="0" applyNumberFormat="1" applyFont="1" applyAlignment="1" applyProtection="1">
      <alignment horizontal="center"/>
      <protection locked="0"/>
    </xf>
    <xf numFmtId="165" fontId="0" fillId="3" borderId="0" xfId="0" applyNumberFormat="1" applyFill="1" applyAlignment="1" applyProtection="1">
      <alignment horizontal="right" indent="2"/>
    </xf>
    <xf numFmtId="0" fontId="0" fillId="0" borderId="0" xfId="0" applyFill="1" applyProtection="1">
      <protection locked="0"/>
    </xf>
    <xf numFmtId="0" fontId="4" fillId="0" borderId="0" xfId="0" applyFont="1" applyProtection="1">
      <protection locked="0"/>
    </xf>
    <xf numFmtId="0" fontId="4" fillId="11" borderId="0" xfId="0" applyFont="1" applyFill="1" applyProtection="1">
      <protection locked="0"/>
    </xf>
    <xf numFmtId="0" fontId="0" fillId="11" borderId="0" xfId="0" applyFill="1"/>
    <xf numFmtId="0" fontId="0" fillId="11" borderId="0" xfId="0" applyFill="1" applyProtection="1">
      <protection locked="0"/>
    </xf>
    <xf numFmtId="0" fontId="0" fillId="11" borderId="0" xfId="0" applyFill="1" applyAlignment="1" applyProtection="1">
      <alignment horizontal="center" vertical="center"/>
      <protection locked="0"/>
    </xf>
    <xf numFmtId="165" fontId="0" fillId="11" borderId="0" xfId="0" applyNumberFormat="1" applyFill="1" applyProtection="1">
      <protection locked="0"/>
    </xf>
    <xf numFmtId="166" fontId="0" fillId="3" borderId="0" xfId="0" applyNumberFormat="1" applyFill="1" applyAlignment="1">
      <alignment horizontal="center"/>
    </xf>
    <xf numFmtId="0" fontId="0" fillId="10" borderId="0" xfId="0" applyFill="1" applyAlignment="1">
      <alignment horizontal="center"/>
    </xf>
    <xf numFmtId="165" fontId="0" fillId="3" borderId="0" xfId="0" applyNumberFormat="1" applyFill="1" applyAlignment="1">
      <alignment horizontal="center"/>
    </xf>
    <xf numFmtId="0" fontId="20" fillId="2" borderId="0" xfId="0" applyFont="1" applyFill="1"/>
    <xf numFmtId="166" fontId="20" fillId="3" borderId="0" xfId="0" applyNumberFormat="1" applyFont="1" applyFill="1" applyAlignment="1">
      <alignment horizontal="center"/>
    </xf>
    <xf numFmtId="0" fontId="20" fillId="10" borderId="0" xfId="0" applyFont="1" applyFill="1" applyAlignment="1">
      <alignment horizontal="center"/>
    </xf>
    <xf numFmtId="165" fontId="20" fillId="3" borderId="0" xfId="0" applyNumberFormat="1" applyFont="1" applyFill="1" applyAlignment="1">
      <alignment horizontal="center"/>
    </xf>
    <xf numFmtId="165" fontId="20" fillId="10" borderId="0" xfId="0" applyNumberFormat="1" applyFont="1" applyFill="1" applyAlignment="1">
      <alignment horizontal="center"/>
    </xf>
    <xf numFmtId="165" fontId="20" fillId="3" borderId="0" xfId="0" applyNumberFormat="1" applyFont="1" applyFill="1" applyAlignment="1" applyProtection="1">
      <alignment horizontal="center"/>
    </xf>
    <xf numFmtId="0" fontId="25" fillId="2" borderId="1" xfId="0" applyFont="1" applyFill="1" applyBorder="1"/>
    <xf numFmtId="0" fontId="26" fillId="2" borderId="1" xfId="0" applyFont="1" applyFill="1" applyBorder="1"/>
    <xf numFmtId="0" fontId="26" fillId="2" borderId="1" xfId="0" applyFont="1" applyFill="1" applyBorder="1" applyAlignment="1">
      <alignment horizontal="center" vertical="center"/>
    </xf>
    <xf numFmtId="166" fontId="27" fillId="3" borderId="1" xfId="0" applyNumberFormat="1" applyFont="1" applyFill="1" applyBorder="1" applyAlignment="1">
      <alignment horizontal="center"/>
    </xf>
    <xf numFmtId="0" fontId="27" fillId="10" borderId="1" xfId="0" applyFont="1" applyFill="1" applyBorder="1" applyAlignment="1">
      <alignment horizontal="center"/>
    </xf>
    <xf numFmtId="165" fontId="27" fillId="3" borderId="1" xfId="0" applyNumberFormat="1" applyFont="1" applyFill="1" applyBorder="1" applyAlignment="1" applyProtection="1">
      <alignment horizontal="center"/>
    </xf>
    <xf numFmtId="0" fontId="26" fillId="0" borderId="0" xfId="0" applyFont="1"/>
    <xf numFmtId="166" fontId="20" fillId="3" borderId="0" xfId="0" applyNumberFormat="1" applyFont="1" applyFill="1" applyAlignment="1" applyProtection="1">
      <alignment horizontal="center"/>
    </xf>
    <xf numFmtId="166" fontId="0" fillId="3" borderId="0" xfId="0" applyNumberFormat="1" applyFill="1" applyAlignment="1" applyProtection="1">
      <alignment horizontal="center"/>
    </xf>
    <xf numFmtId="165" fontId="0" fillId="3" borderId="0" xfId="0" applyNumberFormat="1" applyFill="1" applyAlignment="1" applyProtection="1">
      <alignment horizontal="center"/>
    </xf>
    <xf numFmtId="0" fontId="25" fillId="2" borderId="0" xfId="0" applyFont="1" applyFill="1" applyBorder="1"/>
    <xf numFmtId="0" fontId="26" fillId="2" borderId="0" xfId="0" applyFont="1" applyFill="1" applyBorder="1"/>
    <xf numFmtId="0" fontId="26" fillId="2" borderId="0" xfId="0" applyFont="1" applyFill="1" applyBorder="1" applyAlignment="1">
      <alignment horizontal="center" vertical="center"/>
    </xf>
    <xf numFmtId="166" fontId="27" fillId="3" borderId="0" xfId="0" applyNumberFormat="1" applyFont="1" applyFill="1" applyBorder="1" applyAlignment="1">
      <alignment horizontal="center"/>
    </xf>
    <xf numFmtId="0" fontId="27" fillId="10" borderId="0" xfId="0" applyFont="1" applyFill="1" applyBorder="1" applyAlignment="1">
      <alignment horizontal="center"/>
    </xf>
    <xf numFmtId="165" fontId="27" fillId="3" borderId="0" xfId="0" applyNumberFormat="1" applyFont="1" applyFill="1" applyBorder="1" applyAlignment="1">
      <alignment horizontal="center"/>
    </xf>
    <xf numFmtId="0" fontId="25" fillId="12" borderId="3" xfId="0" applyFont="1" applyFill="1" applyBorder="1"/>
    <xf numFmtId="0" fontId="26" fillId="12" borderId="3" xfId="0" applyFont="1" applyFill="1" applyBorder="1"/>
    <xf numFmtId="0" fontId="26" fillId="12" borderId="3" xfId="0" applyFont="1" applyFill="1" applyBorder="1" applyAlignment="1">
      <alignment horizontal="center" vertical="center"/>
    </xf>
    <xf numFmtId="166" fontId="27" fillId="12" borderId="3" xfId="0" applyNumberFormat="1" applyFont="1" applyFill="1" applyBorder="1" applyAlignment="1">
      <alignment horizontal="center"/>
    </xf>
    <xf numFmtId="0" fontId="27" fillId="12" borderId="3" xfId="0" applyFont="1" applyFill="1" applyBorder="1" applyAlignment="1">
      <alignment horizontal="center"/>
    </xf>
    <xf numFmtId="165" fontId="27" fillId="12" borderId="3" xfId="0" applyNumberFormat="1" applyFont="1" applyFill="1" applyBorder="1" applyAlignment="1">
      <alignment horizontal="center"/>
    </xf>
    <xf numFmtId="0" fontId="28" fillId="12" borderId="0" xfId="9" applyFont="1" applyFill="1" applyBorder="1"/>
    <xf numFmtId="0" fontId="29" fillId="12" borderId="0" xfId="0" applyFont="1" applyFill="1" applyBorder="1"/>
    <xf numFmtId="0" fontId="29" fillId="12" borderId="0" xfId="0" applyFont="1" applyFill="1" applyBorder="1" applyAlignment="1">
      <alignment horizontal="center" vertical="center"/>
    </xf>
    <xf numFmtId="166" fontId="30" fillId="12" borderId="0" xfId="0" applyNumberFormat="1" applyFont="1" applyFill="1" applyBorder="1" applyAlignment="1">
      <alignment horizontal="center"/>
    </xf>
    <xf numFmtId="0" fontId="30" fillId="12" borderId="0" xfId="0" applyFont="1" applyFill="1" applyBorder="1" applyAlignment="1">
      <alignment horizontal="center"/>
    </xf>
    <xf numFmtId="165" fontId="30" fillId="12" borderId="0" xfId="0" applyNumberFormat="1" applyFont="1" applyFill="1" applyBorder="1" applyAlignment="1">
      <alignment horizontal="center"/>
    </xf>
    <xf numFmtId="0" fontId="1" fillId="12" borderId="0" xfId="0" applyFont="1" applyFill="1" applyBorder="1"/>
    <xf numFmtId="0" fontId="0" fillId="12" borderId="0" xfId="0" applyFont="1" applyFill="1" applyBorder="1"/>
    <xf numFmtId="0" fontId="0" fillId="12" borderId="0" xfId="0" applyFont="1" applyFill="1" applyBorder="1" applyAlignment="1">
      <alignment horizontal="center" vertical="center"/>
    </xf>
    <xf numFmtId="0" fontId="0" fillId="12" borderId="0" xfId="0" applyFont="1" applyFill="1"/>
    <xf numFmtId="164" fontId="13" fillId="12" borderId="0" xfId="5" applyNumberFormat="1" applyFont="1" applyFill="1"/>
    <xf numFmtId="0" fontId="0" fillId="12" borderId="0" xfId="0" applyFont="1" applyFill="1" applyAlignment="1">
      <alignment horizontal="center" vertical="center"/>
    </xf>
    <xf numFmtId="0" fontId="0" fillId="0" borderId="0" xfId="0" applyFont="1"/>
    <xf numFmtId="0" fontId="0" fillId="12" borderId="0" xfId="0" applyFill="1"/>
    <xf numFmtId="0" fontId="0" fillId="12" borderId="0" xfId="0" applyFill="1" applyAlignment="1">
      <alignment horizontal="center" vertical="center"/>
    </xf>
    <xf numFmtId="0" fontId="0" fillId="2" borderId="0" xfId="0" applyFont="1" applyFill="1" applyAlignment="1">
      <alignment horizontal="center" vertical="center"/>
    </xf>
    <xf numFmtId="0" fontId="0" fillId="11" borderId="0" xfId="0" applyFont="1" applyFill="1"/>
    <xf numFmtId="0" fontId="0" fillId="2" borderId="0" xfId="0" applyFill="1" applyAlignment="1">
      <alignment horizontal="center"/>
    </xf>
    <xf numFmtId="0" fontId="5" fillId="12" borderId="0" xfId="10" applyFill="1" applyAlignment="1" applyProtection="1"/>
    <xf numFmtId="0" fontId="31" fillId="12" borderId="0" xfId="0" applyFont="1" applyFill="1" applyAlignment="1">
      <alignment vertical="center"/>
    </xf>
    <xf numFmtId="0" fontId="32" fillId="12" borderId="0" xfId="0" applyFont="1" applyFill="1" applyAlignment="1">
      <alignment vertical="center"/>
    </xf>
    <xf numFmtId="0" fontId="33" fillId="12" borderId="0" xfId="0" applyFont="1" applyFill="1"/>
    <xf numFmtId="0" fontId="33" fillId="0" borderId="0" xfId="0" applyFont="1"/>
    <xf numFmtId="0" fontId="0" fillId="0" borderId="0" xfId="0" applyAlignment="1">
      <alignment horizontal="center" wrapText="1"/>
    </xf>
    <xf numFmtId="0" fontId="20" fillId="0" borderId="0" xfId="0" applyFont="1" applyAlignment="1">
      <alignment horizontal="center" wrapText="1"/>
    </xf>
    <xf numFmtId="1" fontId="13" fillId="0" borderId="0" xfId="5" applyNumberFormat="1" applyFont="1"/>
    <xf numFmtId="164" fontId="13" fillId="0" borderId="0" xfId="5" applyNumberFormat="1" applyFont="1"/>
    <xf numFmtId="1" fontId="14" fillId="6" borderId="0" xfId="2" applyNumberFormat="1"/>
    <xf numFmtId="0" fontId="34" fillId="2" borderId="3" xfId="0" applyFont="1" applyFill="1" applyBorder="1"/>
    <xf numFmtId="0" fontId="34" fillId="2" borderId="3" xfId="0" applyFont="1" applyFill="1" applyBorder="1" applyAlignment="1">
      <alignment horizontal="center"/>
    </xf>
    <xf numFmtId="0" fontId="34" fillId="2" borderId="3" xfId="0" applyFont="1" applyFill="1" applyBorder="1" applyAlignment="1">
      <alignment horizontal="center" vertical="center"/>
    </xf>
    <xf numFmtId="0" fontId="34" fillId="3" borderId="3" xfId="0" applyFont="1" applyFill="1" applyBorder="1" applyAlignment="1">
      <alignment horizontal="center"/>
    </xf>
    <xf numFmtId="0" fontId="35" fillId="10" borderId="3" xfId="0" applyFont="1" applyFill="1" applyBorder="1"/>
    <xf numFmtId="1" fontId="34" fillId="3" borderId="3" xfId="0" applyNumberFormat="1" applyFont="1" applyFill="1" applyBorder="1" applyAlignment="1">
      <alignment horizontal="right" indent="1"/>
    </xf>
    <xf numFmtId="166" fontId="34" fillId="3" borderId="3" xfId="0" applyNumberFormat="1" applyFont="1" applyFill="1" applyBorder="1" applyAlignment="1">
      <alignment horizontal="right" indent="1"/>
    </xf>
    <xf numFmtId="166" fontId="34" fillId="3" borderId="3" xfId="0" applyNumberFormat="1" applyFont="1" applyFill="1" applyBorder="1" applyAlignment="1">
      <alignment horizontal="right"/>
    </xf>
    <xf numFmtId="9" fontId="34" fillId="3" borderId="3" xfId="13" applyFont="1" applyFill="1" applyBorder="1" applyAlignment="1">
      <alignment horizontal="center"/>
    </xf>
    <xf numFmtId="167" fontId="34" fillId="3" borderId="3" xfId="0" applyNumberFormat="1" applyFont="1" applyFill="1" applyBorder="1" applyAlignment="1">
      <alignment horizontal="center"/>
    </xf>
    <xf numFmtId="166" fontId="34" fillId="3" borderId="3" xfId="0" applyNumberFormat="1" applyFont="1" applyFill="1" applyBorder="1" applyAlignment="1">
      <alignment horizontal="center"/>
    </xf>
    <xf numFmtId="166" fontId="34" fillId="3" borderId="0" xfId="0" applyNumberFormat="1" applyFont="1" applyFill="1" applyBorder="1" applyAlignment="1">
      <alignment horizontal="center"/>
    </xf>
    <xf numFmtId="0" fontId="35" fillId="0" borderId="0" xfId="0" applyFont="1"/>
    <xf numFmtId="0" fontId="34" fillId="2" borderId="0" xfId="0" applyFont="1" applyFill="1" applyBorder="1" applyAlignment="1">
      <alignment horizontal="center"/>
    </xf>
    <xf numFmtId="0" fontId="34" fillId="2" borderId="0" xfId="0" applyFont="1" applyFill="1" applyBorder="1"/>
    <xf numFmtId="0" fontId="34" fillId="2" borderId="0" xfId="0" applyFont="1" applyFill="1" applyBorder="1" applyAlignment="1">
      <alignment horizontal="center" vertical="center"/>
    </xf>
    <xf numFmtId="0" fontId="34" fillId="3" borderId="0" xfId="0" applyFont="1" applyFill="1" applyBorder="1" applyAlignment="1">
      <alignment horizontal="center"/>
    </xf>
    <xf numFmtId="0" fontId="35" fillId="10" borderId="0" xfId="0" applyFont="1" applyFill="1" applyBorder="1"/>
    <xf numFmtId="1" fontId="34" fillId="3" borderId="0" xfId="0" applyNumberFormat="1" applyFont="1" applyFill="1" applyBorder="1" applyAlignment="1">
      <alignment horizontal="right" indent="1"/>
    </xf>
    <xf numFmtId="166" fontId="34" fillId="3" borderId="0" xfId="0" applyNumberFormat="1" applyFont="1" applyFill="1" applyBorder="1" applyAlignment="1">
      <alignment horizontal="right" indent="1"/>
    </xf>
    <xf numFmtId="166" fontId="34" fillId="3" borderId="0" xfId="0" applyNumberFormat="1" applyFont="1" applyFill="1" applyBorder="1" applyAlignment="1">
      <alignment horizontal="right"/>
    </xf>
    <xf numFmtId="9" fontId="34" fillId="3" borderId="0" xfId="13" applyFont="1" applyFill="1" applyBorder="1" applyAlignment="1">
      <alignment horizontal="center"/>
    </xf>
    <xf numFmtId="167" fontId="34" fillId="3" borderId="0" xfId="0" applyNumberFormat="1" applyFont="1" applyFill="1" applyBorder="1" applyAlignment="1">
      <alignment horizontal="center"/>
    </xf>
    <xf numFmtId="0" fontId="35" fillId="2" borderId="1" xfId="0" applyFont="1" applyFill="1" applyBorder="1" applyAlignment="1">
      <alignment horizontal="center"/>
    </xf>
    <xf numFmtId="0" fontId="35" fillId="2" borderId="1" xfId="0" applyFont="1" applyFill="1" applyBorder="1"/>
    <xf numFmtId="0" fontId="35" fillId="2" borderId="1" xfId="0" applyFont="1" applyFill="1" applyBorder="1" applyAlignment="1">
      <alignment horizontal="center" vertical="center"/>
    </xf>
    <xf numFmtId="0" fontId="35" fillId="3" borderId="1" xfId="0" applyFont="1" applyFill="1" applyBorder="1"/>
    <xf numFmtId="0" fontId="35" fillId="10" borderId="1" xfId="0" applyFont="1" applyFill="1" applyBorder="1"/>
    <xf numFmtId="1" fontId="34" fillId="3" borderId="1" xfId="0" applyNumberFormat="1" applyFont="1" applyFill="1" applyBorder="1" applyAlignment="1">
      <alignment horizontal="right" indent="1"/>
    </xf>
    <xf numFmtId="166" fontId="34" fillId="3" borderId="1" xfId="0" applyNumberFormat="1" applyFont="1" applyFill="1" applyBorder="1" applyAlignment="1">
      <alignment horizontal="right" indent="1"/>
    </xf>
    <xf numFmtId="166" fontId="34" fillId="3" borderId="1" xfId="0" applyNumberFormat="1" applyFont="1" applyFill="1" applyBorder="1" applyAlignment="1">
      <alignment horizontal="right"/>
    </xf>
    <xf numFmtId="9" fontId="34" fillId="3" borderId="1" xfId="13" applyFont="1" applyFill="1" applyBorder="1" applyAlignment="1">
      <alignment horizontal="center"/>
    </xf>
    <xf numFmtId="167" fontId="34" fillId="3" borderId="1" xfId="0" applyNumberFormat="1" applyFont="1" applyFill="1" applyBorder="1" applyAlignment="1">
      <alignment horizontal="center"/>
    </xf>
    <xf numFmtId="166" fontId="34" fillId="3" borderId="1" xfId="0" applyNumberFormat="1" applyFont="1" applyFill="1" applyBorder="1" applyAlignment="1">
      <alignment horizontal="center"/>
    </xf>
    <xf numFmtId="164" fontId="13" fillId="2" borderId="0" xfId="5" applyNumberFormat="1" applyFont="1" applyFill="1" applyBorder="1" applyAlignment="1">
      <alignment horizontal="center"/>
    </xf>
    <xf numFmtId="1" fontId="0" fillId="13" borderId="0" xfId="0" applyNumberFormat="1" applyFill="1" applyAlignment="1">
      <alignment horizontal="right" indent="1"/>
    </xf>
    <xf numFmtId="166" fontId="0" fillId="13" borderId="0" xfId="0" applyNumberFormat="1" applyFill="1" applyAlignment="1">
      <alignment horizontal="right" indent="1"/>
    </xf>
    <xf numFmtId="166" fontId="0" fillId="13" borderId="0" xfId="0" applyNumberFormat="1" applyFill="1" applyAlignment="1">
      <alignment horizontal="right"/>
    </xf>
    <xf numFmtId="0" fontId="0" fillId="13" borderId="0" xfId="0" applyFill="1"/>
    <xf numFmtId="0" fontId="36" fillId="2" borderId="0" xfId="0" applyFont="1" applyFill="1" applyBorder="1"/>
    <xf numFmtId="164" fontId="13" fillId="2" borderId="0" xfId="5" applyNumberFormat="1" applyFont="1" applyFill="1" applyAlignment="1">
      <alignment horizontal="center"/>
    </xf>
    <xf numFmtId="165" fontId="0" fillId="2" borderId="0" xfId="0" applyNumberFormat="1" applyFont="1" applyFill="1"/>
    <xf numFmtId="165" fontId="0" fillId="3" borderId="0" xfId="0" applyNumberFormat="1" applyFont="1" applyFill="1" applyProtection="1"/>
    <xf numFmtId="0" fontId="0" fillId="10" borderId="0" xfId="0" applyFont="1" applyFill="1"/>
    <xf numFmtId="1" fontId="0" fillId="13" borderId="0" xfId="0" applyNumberFormat="1" applyFont="1" applyFill="1" applyAlignment="1">
      <alignment horizontal="right" indent="1"/>
    </xf>
    <xf numFmtId="166" fontId="0" fillId="13" borderId="0" xfId="0" applyNumberFormat="1" applyFont="1" applyFill="1" applyAlignment="1">
      <alignment horizontal="right" indent="1"/>
    </xf>
    <xf numFmtId="166" fontId="0" fillId="13" borderId="0" xfId="0" applyNumberFormat="1" applyFont="1" applyFill="1" applyAlignment="1">
      <alignment horizontal="right"/>
    </xf>
    <xf numFmtId="10" fontId="13" fillId="13" borderId="0" xfId="13" applyNumberFormat="1" applyFont="1" applyFill="1" applyAlignment="1">
      <alignment horizontal="center"/>
    </xf>
    <xf numFmtId="167" fontId="0" fillId="13" borderId="0" xfId="0" applyNumberFormat="1" applyFont="1" applyFill="1"/>
    <xf numFmtId="166" fontId="0" fillId="13" borderId="0" xfId="0" applyNumberFormat="1" applyFont="1" applyFill="1"/>
    <xf numFmtId="0" fontId="37" fillId="2" borderId="0" xfId="0" applyFont="1" applyFill="1"/>
    <xf numFmtId="166" fontId="0" fillId="3" borderId="0" xfId="0" applyNumberFormat="1" applyFont="1" applyFill="1" applyAlignment="1" applyProtection="1">
      <alignment horizontal="left"/>
    </xf>
    <xf numFmtId="164" fontId="13" fillId="0" borderId="0" xfId="5" applyNumberFormat="1" applyFont="1" applyAlignment="1" applyProtection="1">
      <alignment horizontal="center"/>
      <protection locked="0"/>
    </xf>
    <xf numFmtId="166" fontId="38" fillId="0" borderId="0" xfId="0" applyNumberFormat="1" applyFont="1" applyProtection="1">
      <protection locked="0"/>
    </xf>
    <xf numFmtId="166" fontId="0" fillId="3" borderId="0" xfId="0" applyNumberFormat="1" applyFont="1" applyFill="1" applyProtection="1"/>
    <xf numFmtId="0" fontId="23" fillId="0" borderId="0" xfId="0" applyFont="1" applyFill="1" applyProtection="1">
      <protection locked="0"/>
    </xf>
    <xf numFmtId="166" fontId="0" fillId="0" borderId="0" xfId="0" applyNumberFormat="1" applyFont="1" applyProtection="1">
      <protection locked="0"/>
    </xf>
    <xf numFmtId="166" fontId="0" fillId="3" borderId="0" xfId="0" applyNumberFormat="1" applyFont="1" applyFill="1" applyAlignment="1">
      <alignment horizontal="left"/>
    </xf>
    <xf numFmtId="166" fontId="0" fillId="3" borderId="0" xfId="0" applyNumberFormat="1" applyFont="1" applyFill="1"/>
    <xf numFmtId="167" fontId="0" fillId="13" borderId="0" xfId="0" applyNumberFormat="1" applyFont="1" applyFill="1" applyAlignment="1">
      <alignment vertical="center"/>
    </xf>
    <xf numFmtId="166" fontId="0" fillId="3" borderId="0" xfId="0" applyNumberFormat="1" applyFill="1" applyAlignment="1">
      <alignment horizontal="left"/>
    </xf>
    <xf numFmtId="0" fontId="0" fillId="13" borderId="0" xfId="0" applyFill="1" applyAlignment="1">
      <alignment horizontal="right" indent="1"/>
    </xf>
    <xf numFmtId="9" fontId="13" fillId="13" borderId="0" xfId="13" applyFont="1" applyFill="1" applyAlignment="1">
      <alignment horizontal="center"/>
    </xf>
    <xf numFmtId="167" fontId="0" fillId="13" borderId="0" xfId="0" applyNumberFormat="1" applyFill="1"/>
    <xf numFmtId="166" fontId="24" fillId="0" borderId="0" xfId="0" applyNumberFormat="1" applyFont="1" applyProtection="1">
      <protection locked="0"/>
    </xf>
    <xf numFmtId="166" fontId="0" fillId="3" borderId="0" xfId="0" applyNumberFormat="1" applyFill="1"/>
    <xf numFmtId="167" fontId="39" fillId="13" borderId="0" xfId="0" applyNumberFormat="1" applyFont="1" applyFill="1" applyAlignment="1">
      <alignment vertical="center"/>
    </xf>
    <xf numFmtId="166" fontId="0" fillId="13" borderId="0" xfId="0" applyNumberFormat="1" applyFill="1"/>
    <xf numFmtId="164" fontId="13" fillId="11" borderId="0" xfId="5" applyNumberFormat="1" applyFont="1" applyFill="1" applyAlignment="1">
      <alignment horizontal="center"/>
    </xf>
    <xf numFmtId="167" fontId="40" fillId="13" borderId="0" xfId="0" applyNumberFormat="1" applyFont="1" applyFill="1" applyAlignment="1">
      <alignment horizontal="right"/>
    </xf>
    <xf numFmtId="166" fontId="20" fillId="13" borderId="0" xfId="0" applyNumberFormat="1" applyFont="1" applyFill="1"/>
    <xf numFmtId="0" fontId="0" fillId="0" borderId="0" xfId="0" applyFont="1" applyAlignment="1" applyProtection="1">
      <alignment horizontal="center"/>
      <protection locked="0"/>
    </xf>
    <xf numFmtId="0" fontId="23" fillId="0" borderId="0" xfId="0" applyFont="1" applyAlignment="1" applyProtection="1">
      <alignment horizontal="center" vertical="center"/>
      <protection locked="0"/>
    </xf>
    <xf numFmtId="1" fontId="13" fillId="0" borderId="0" xfId="5" applyNumberFormat="1" applyFont="1" applyAlignment="1" applyProtection="1">
      <alignment horizontal="center"/>
      <protection locked="0"/>
    </xf>
    <xf numFmtId="0" fontId="0" fillId="0" borderId="0" xfId="0" applyFont="1" applyAlignment="1">
      <alignment horizontal="left" vertical="center"/>
    </xf>
    <xf numFmtId="167" fontId="0" fillId="13" borderId="0" xfId="0" applyNumberFormat="1" applyFont="1" applyFill="1" applyAlignment="1">
      <alignment horizontal="right"/>
    </xf>
    <xf numFmtId="1" fontId="13" fillId="13" borderId="0" xfId="5" applyNumberFormat="1" applyFont="1" applyFill="1" applyAlignment="1">
      <alignment horizontal="right" indent="1"/>
    </xf>
    <xf numFmtId="166" fontId="13" fillId="13" borderId="0" xfId="5" applyNumberFormat="1" applyFont="1" applyFill="1" applyAlignment="1">
      <alignment horizontal="right" indent="1"/>
    </xf>
    <xf numFmtId="166" fontId="13" fillId="13" borderId="0" xfId="5" applyNumberFormat="1" applyFont="1" applyFill="1" applyAlignment="1">
      <alignment horizontal="right"/>
    </xf>
    <xf numFmtId="0" fontId="37" fillId="11" borderId="0" xfId="0" applyFont="1" applyFill="1" applyProtection="1">
      <protection locked="0"/>
    </xf>
    <xf numFmtId="164" fontId="13" fillId="11" borderId="0" xfId="5" applyNumberFormat="1" applyFont="1" applyFill="1" applyAlignment="1" applyProtection="1">
      <alignment horizontal="center"/>
      <protection locked="0"/>
    </xf>
    <xf numFmtId="0" fontId="0" fillId="11" borderId="0" xfId="0" applyFont="1" applyFill="1" applyAlignment="1" applyProtection="1">
      <alignment horizontal="center" vertical="center"/>
      <protection locked="0"/>
    </xf>
    <xf numFmtId="165" fontId="38" fillId="11" borderId="0" xfId="0" applyNumberFormat="1" applyFont="1" applyFill="1" applyProtection="1">
      <protection locked="0"/>
    </xf>
    <xf numFmtId="1" fontId="0" fillId="13" borderId="0" xfId="0" applyNumberFormat="1" applyFont="1" applyFill="1" applyBorder="1" applyAlignment="1">
      <alignment horizontal="right" indent="1"/>
    </xf>
    <xf numFmtId="166" fontId="0" fillId="13" borderId="0" xfId="0" applyNumberFormat="1" applyFont="1" applyFill="1" applyBorder="1" applyAlignment="1">
      <alignment horizontal="right" indent="1"/>
    </xf>
    <xf numFmtId="166" fontId="0" fillId="13" borderId="0" xfId="0" applyNumberFormat="1" applyFont="1" applyFill="1" applyBorder="1" applyAlignment="1">
      <alignment horizontal="right"/>
    </xf>
    <xf numFmtId="10" fontId="13" fillId="13" borderId="0" xfId="13" applyNumberFormat="1" applyFont="1" applyFill="1" applyBorder="1" applyAlignment="1">
      <alignment horizontal="center"/>
    </xf>
    <xf numFmtId="167" fontId="0" fillId="13" borderId="0" xfId="0" applyNumberFormat="1" applyFont="1" applyFill="1" applyBorder="1"/>
    <xf numFmtId="166" fontId="0" fillId="13" borderId="0" xfId="0" applyNumberFormat="1" applyFont="1" applyFill="1" applyBorder="1"/>
    <xf numFmtId="0" fontId="0" fillId="2" borderId="0" xfId="0" applyFont="1" applyFill="1" applyAlignment="1">
      <alignment horizontal="center"/>
    </xf>
    <xf numFmtId="165" fontId="0" fillId="13" borderId="0" xfId="0" applyNumberFormat="1" applyFont="1" applyFill="1"/>
    <xf numFmtId="0" fontId="0" fillId="2" borderId="1" xfId="0" applyFont="1" applyFill="1" applyBorder="1"/>
    <xf numFmtId="164" fontId="13" fillId="2" borderId="1" xfId="5" applyNumberFormat="1" applyFont="1" applyFill="1" applyBorder="1" applyAlignment="1">
      <alignment horizontal="center"/>
    </xf>
    <xf numFmtId="0" fontId="0" fillId="2" borderId="1" xfId="0" applyFont="1" applyFill="1" applyBorder="1" applyAlignment="1">
      <alignment horizontal="center" vertical="center"/>
    </xf>
    <xf numFmtId="0" fontId="0" fillId="3" borderId="1" xfId="0" applyFont="1" applyFill="1" applyBorder="1"/>
    <xf numFmtId="0" fontId="0" fillId="10" borderId="1" xfId="0" applyFont="1" applyFill="1" applyBorder="1"/>
    <xf numFmtId="1" fontId="0" fillId="13" borderId="1" xfId="0" applyNumberFormat="1" applyFont="1" applyFill="1" applyBorder="1" applyAlignment="1">
      <alignment horizontal="right" indent="1"/>
    </xf>
    <xf numFmtId="166" fontId="0" fillId="13" borderId="1" xfId="0" applyNumberFormat="1" applyFont="1" applyFill="1" applyBorder="1" applyAlignment="1">
      <alignment horizontal="right" indent="1"/>
    </xf>
    <xf numFmtId="166" fontId="0" fillId="13" borderId="1" xfId="0" applyNumberFormat="1" applyFont="1" applyFill="1" applyBorder="1" applyAlignment="1">
      <alignment horizontal="right"/>
    </xf>
    <xf numFmtId="10" fontId="13" fillId="13" borderId="1" xfId="13" applyNumberFormat="1" applyFont="1" applyFill="1" applyBorder="1" applyAlignment="1">
      <alignment horizontal="center"/>
    </xf>
    <xf numFmtId="167" fontId="0" fillId="13" borderId="1" xfId="0" applyNumberFormat="1" applyFont="1" applyFill="1" applyBorder="1"/>
    <xf numFmtId="166" fontId="0" fillId="13" borderId="1" xfId="0" applyNumberFormat="1" applyFont="1" applyFill="1" applyBorder="1"/>
    <xf numFmtId="164" fontId="13" fillId="12" borderId="0" xfId="5" applyNumberFormat="1" applyFont="1" applyFill="1" applyAlignment="1">
      <alignment horizontal="center"/>
    </xf>
    <xf numFmtId="1" fontId="0" fillId="12" borderId="0" xfId="0" applyNumberFormat="1" applyFont="1" applyFill="1" applyAlignment="1">
      <alignment horizontal="right" indent="1"/>
    </xf>
    <xf numFmtId="166" fontId="0" fillId="12" borderId="0" xfId="0" applyNumberFormat="1" applyFont="1" applyFill="1" applyAlignment="1">
      <alignment horizontal="right" indent="1"/>
    </xf>
    <xf numFmtId="166" fontId="0" fillId="12" borderId="0" xfId="0" applyNumberFormat="1" applyFont="1" applyFill="1" applyAlignment="1">
      <alignment horizontal="right"/>
    </xf>
    <xf numFmtId="10" fontId="13" fillId="12" borderId="0" xfId="13" applyNumberFormat="1" applyFont="1" applyFill="1" applyAlignment="1">
      <alignment horizontal="center"/>
    </xf>
    <xf numFmtId="167" fontId="0" fillId="12" borderId="0" xfId="0" applyNumberFormat="1" applyFont="1" applyFill="1"/>
    <xf numFmtId="166" fontId="0" fillId="12" borderId="0" xfId="0" applyNumberFormat="1" applyFont="1" applyFill="1"/>
    <xf numFmtId="1" fontId="0" fillId="12" borderId="0" xfId="0" applyNumberFormat="1" applyFill="1" applyAlignment="1">
      <alignment horizontal="right" indent="1"/>
    </xf>
    <xf numFmtId="166" fontId="0" fillId="12" borderId="0" xfId="0" applyNumberFormat="1" applyFill="1" applyAlignment="1">
      <alignment horizontal="right" indent="1"/>
    </xf>
    <xf numFmtId="166" fontId="0" fillId="12" borderId="0" xfId="0" applyNumberFormat="1" applyFill="1" applyAlignment="1">
      <alignment horizontal="right"/>
    </xf>
    <xf numFmtId="167" fontId="0" fillId="12" borderId="0" xfId="0" applyNumberFormat="1" applyFill="1"/>
    <xf numFmtId="166" fontId="0" fillId="12" borderId="0" xfId="0" applyNumberFormat="1" applyFill="1"/>
    <xf numFmtId="164" fontId="13" fillId="0" borderId="0" xfId="5" applyNumberFormat="1" applyFont="1" applyAlignment="1">
      <alignment horizontal="center"/>
    </xf>
    <xf numFmtId="1" fontId="0" fillId="0" borderId="0" xfId="0" applyNumberFormat="1" applyAlignment="1">
      <alignment horizontal="right" indent="1"/>
    </xf>
    <xf numFmtId="166" fontId="0" fillId="0" borderId="0" xfId="0" applyNumberFormat="1" applyAlignment="1">
      <alignment horizontal="right" indent="1"/>
    </xf>
    <xf numFmtId="166" fontId="0" fillId="0" borderId="0" xfId="0" applyNumberFormat="1" applyAlignment="1">
      <alignment horizontal="right"/>
    </xf>
    <xf numFmtId="10" fontId="13" fillId="0" borderId="0" xfId="13" applyNumberFormat="1" applyFont="1" applyAlignment="1">
      <alignment horizontal="center"/>
    </xf>
    <xf numFmtId="167" fontId="0" fillId="0" borderId="0" xfId="0" applyNumberFormat="1"/>
    <xf numFmtId="166" fontId="0" fillId="0" borderId="0" xfId="0" applyNumberFormat="1"/>
    <xf numFmtId="9" fontId="13" fillId="0" borderId="0" xfId="13" applyFont="1" applyAlignment="1" applyProtection="1">
      <alignment horizontal="right" indent="1"/>
      <protection locked="0"/>
    </xf>
    <xf numFmtId="165" fontId="0" fillId="3" borderId="0" xfId="0" applyNumberFormat="1" applyFont="1" applyFill="1"/>
    <xf numFmtId="165" fontId="0" fillId="13" borderId="0" xfId="0" applyNumberFormat="1" applyFont="1" applyFill="1" applyBorder="1" applyAlignment="1">
      <alignment horizontal="right"/>
    </xf>
    <xf numFmtId="43" fontId="0" fillId="0" borderId="0" xfId="0" applyNumberFormat="1"/>
    <xf numFmtId="0" fontId="18" fillId="0" borderId="0" xfId="9" applyAlignment="1">
      <alignment horizontal="left"/>
    </xf>
    <xf numFmtId="5" fontId="13" fillId="0" borderId="0" xfId="6" applyNumberFormat="1" applyFont="1" applyFill="1" applyAlignment="1"/>
    <xf numFmtId="0" fontId="0" fillId="0" borderId="0" xfId="0" applyAlignment="1">
      <alignment horizontal="right"/>
    </xf>
    <xf numFmtId="165" fontId="26" fillId="0" borderId="0" xfId="0" applyNumberFormat="1" applyFont="1"/>
    <xf numFmtId="168" fontId="13" fillId="0" borderId="0" xfId="13" applyNumberFormat="1" applyFont="1" applyAlignment="1">
      <alignment horizontal="center"/>
    </xf>
    <xf numFmtId="0" fontId="41" fillId="0" borderId="4" xfId="8" applyFont="1" applyAlignment="1" applyProtection="1">
      <alignment horizontal="left" wrapText="1"/>
      <protection locked="0"/>
    </xf>
    <xf numFmtId="0" fontId="20" fillId="12" borderId="0" xfId="0" applyFont="1" applyFill="1"/>
    <xf numFmtId="0" fontId="42" fillId="12" borderId="0" xfId="14" applyFont="1" applyFill="1" applyAlignment="1">
      <alignment horizontal="center"/>
    </xf>
    <xf numFmtId="0" fontId="4" fillId="4" borderId="0" xfId="11" applyFont="1" applyFill="1"/>
    <xf numFmtId="0" fontId="4" fillId="4" borderId="0" xfId="11" applyFont="1" applyFill="1" applyAlignment="1">
      <alignment horizontal="center"/>
    </xf>
    <xf numFmtId="0" fontId="1" fillId="12" borderId="0" xfId="7" applyFont="1" applyFill="1"/>
    <xf numFmtId="0" fontId="43" fillId="12" borderId="0" xfId="0" applyFont="1" applyFill="1" applyBorder="1"/>
    <xf numFmtId="164" fontId="13" fillId="12" borderId="0" xfId="5" applyNumberFormat="1" applyFont="1" applyFill="1" applyBorder="1"/>
    <xf numFmtId="0" fontId="0" fillId="12" borderId="0" xfId="0" applyFill="1" applyBorder="1"/>
    <xf numFmtId="0" fontId="0" fillId="12" borderId="0" xfId="0" applyFill="1" applyBorder="1" applyAlignment="1">
      <alignment horizontal="center" vertical="center"/>
    </xf>
    <xf numFmtId="0" fontId="35" fillId="12" borderId="1" xfId="0" applyFont="1" applyFill="1" applyBorder="1"/>
    <xf numFmtId="164" fontId="35" fillId="12" borderId="1" xfId="5" applyNumberFormat="1" applyFont="1" applyFill="1" applyBorder="1"/>
    <xf numFmtId="0" fontId="35" fillId="12" borderId="1" xfId="0" applyFont="1" applyFill="1" applyBorder="1" applyAlignment="1">
      <alignment horizontal="center" vertical="center"/>
    </xf>
    <xf numFmtId="0" fontId="44" fillId="2" borderId="0" xfId="0" applyFont="1" applyFill="1"/>
    <xf numFmtId="0" fontId="35" fillId="2" borderId="0" xfId="0" applyFont="1" applyFill="1"/>
    <xf numFmtId="0" fontId="11" fillId="2" borderId="0" xfId="0" applyFont="1" applyFill="1" applyAlignment="1">
      <alignment horizontal="center"/>
    </xf>
    <xf numFmtId="0" fontId="35" fillId="2" borderId="0" xfId="0" applyFont="1" applyFill="1" applyAlignment="1">
      <alignment horizontal="center" vertical="center"/>
    </xf>
    <xf numFmtId="49" fontId="35" fillId="2" borderId="0" xfId="0" applyNumberFormat="1" applyFont="1" applyFill="1" applyAlignment="1">
      <alignment horizontal="center"/>
    </xf>
    <xf numFmtId="0" fontId="35" fillId="11" borderId="0" xfId="12" applyFont="1" applyFill="1" applyBorder="1" applyAlignment="1">
      <alignment horizontal="center" vertical="center"/>
    </xf>
    <xf numFmtId="0" fontId="35" fillId="11" borderId="0" xfId="0" applyFont="1" applyFill="1" applyBorder="1" applyAlignment="1">
      <alignment horizontal="center"/>
    </xf>
    <xf numFmtId="0" fontId="45" fillId="2" borderId="0" xfId="7" applyFont="1" applyFill="1"/>
    <xf numFmtId="0" fontId="35" fillId="2" borderId="0" xfId="0" applyFont="1" applyFill="1" applyBorder="1"/>
    <xf numFmtId="0" fontId="12" fillId="2" borderId="0" xfId="0" applyFont="1" applyFill="1" applyAlignment="1">
      <alignment horizontal="center"/>
    </xf>
    <xf numFmtId="169" fontId="46" fillId="13" borderId="1" xfId="13" applyNumberFormat="1" applyFont="1" applyFill="1" applyBorder="1" applyAlignment="1">
      <alignment horizontal="center" vertical="center"/>
    </xf>
    <xf numFmtId="169" fontId="44" fillId="13" borderId="1" xfId="13" applyNumberFormat="1" applyFont="1" applyFill="1" applyBorder="1" applyAlignment="1">
      <alignment horizontal="center" vertical="center"/>
    </xf>
    <xf numFmtId="0" fontId="0" fillId="11" borderId="0" xfId="0" applyFill="1" applyBorder="1"/>
    <xf numFmtId="0" fontId="21" fillId="12" borderId="0" xfId="0" applyFont="1" applyFill="1"/>
    <xf numFmtId="0" fontId="12" fillId="2" borderId="0" xfId="0" applyFont="1" applyFill="1" applyBorder="1" applyAlignment="1">
      <alignment horizontal="center"/>
    </xf>
    <xf numFmtId="166" fontId="35" fillId="2" borderId="0" xfId="0" applyNumberFormat="1" applyFont="1" applyFill="1" applyBorder="1" applyAlignment="1">
      <alignment horizontal="center" vertical="center"/>
    </xf>
    <xf numFmtId="0" fontId="35" fillId="2" borderId="0" xfId="0" applyFont="1" applyFill="1" applyBorder="1" applyAlignment="1">
      <alignment horizontal="center"/>
    </xf>
    <xf numFmtId="0" fontId="35" fillId="2" borderId="0" xfId="0" applyFont="1" applyFill="1" applyBorder="1" applyAlignment="1">
      <alignment horizontal="center" vertical="center"/>
    </xf>
    <xf numFmtId="165" fontId="47" fillId="0" borderId="0" xfId="0" applyNumberFormat="1" applyFont="1" applyAlignment="1" applyProtection="1">
      <alignment horizontal="center"/>
      <protection locked="0"/>
    </xf>
    <xf numFmtId="165" fontId="21" fillId="0" borderId="0" xfId="0" applyNumberFormat="1" applyFont="1" applyFill="1" applyAlignment="1" applyProtection="1">
      <alignment horizontal="center"/>
      <protection locked="0"/>
    </xf>
    <xf numFmtId="170" fontId="0" fillId="2" borderId="0" xfId="0" applyNumberFormat="1" applyFont="1" applyFill="1"/>
    <xf numFmtId="166" fontId="0" fillId="2" borderId="0" xfId="0" applyNumberFormat="1" applyFont="1" applyFill="1"/>
    <xf numFmtId="0" fontId="0" fillId="13" borderId="0" xfId="0" applyFill="1"/>
    <xf numFmtId="0" fontId="4" fillId="12" borderId="0" xfId="11" applyFont="1" applyFill="1" applyAlignment="1">
      <alignment horizontal="center"/>
    </xf>
    <xf numFmtId="0" fontId="4" fillId="0" borderId="0" xfId="11" applyAlignment="1">
      <alignment horizontal="center"/>
    </xf>
    <xf numFmtId="0" fontId="17" fillId="0" borderId="4" xfId="8" applyAlignment="1" applyProtection="1">
      <alignment horizontal="left" wrapText="1"/>
      <protection locked="0"/>
    </xf>
    <xf numFmtId="0" fontId="0" fillId="13" borderId="0" xfId="0" applyFill="1"/>
    <xf numFmtId="0" fontId="41" fillId="0" borderId="4" xfId="8" applyFont="1" applyAlignment="1" applyProtection="1">
      <alignment horizontal="left" wrapText="1"/>
      <protection locked="0"/>
    </xf>
    <xf numFmtId="0" fontId="11" fillId="4" borderId="0" xfId="0" applyFont="1" applyFill="1" applyBorder="1" applyAlignment="1">
      <alignment horizontal="left" vertical="center"/>
    </xf>
    <xf numFmtId="0" fontId="0" fillId="0" borderId="0" xfId="0" applyBorder="1"/>
    <xf numFmtId="165" fontId="3" fillId="11" borderId="3" xfId="0" applyNumberFormat="1" applyFont="1" applyFill="1" applyBorder="1" applyAlignment="1">
      <alignment horizontal="left"/>
    </xf>
    <xf numFmtId="165" fontId="3" fillId="11" borderId="3" xfId="0" applyNumberFormat="1" applyFont="1" applyFill="1" applyBorder="1" applyAlignment="1">
      <alignment horizontal="center"/>
    </xf>
    <xf numFmtId="1" fontId="3" fillId="11" borderId="3" xfId="0" applyNumberFormat="1" applyFont="1" applyFill="1" applyBorder="1" applyAlignment="1">
      <alignment horizontal="center"/>
    </xf>
    <xf numFmtId="165" fontId="48" fillId="11" borderId="3" xfId="0" applyNumberFormat="1" applyFont="1" applyFill="1" applyBorder="1" applyAlignment="1">
      <alignment horizontal="center"/>
    </xf>
    <xf numFmtId="165" fontId="3" fillId="11" borderId="1" xfId="0" applyNumberFormat="1" applyFont="1" applyFill="1" applyBorder="1" applyAlignment="1">
      <alignment horizontal="left"/>
    </xf>
    <xf numFmtId="165" fontId="3" fillId="11" borderId="1" xfId="0" applyNumberFormat="1" applyFont="1" applyFill="1" applyBorder="1" applyAlignment="1">
      <alignment horizontal="center"/>
    </xf>
    <xf numFmtId="165" fontId="48" fillId="11" borderId="1" xfId="0" applyNumberFormat="1" applyFont="1" applyFill="1" applyBorder="1" applyAlignment="1">
      <alignment horizontal="center"/>
    </xf>
    <xf numFmtId="0" fontId="3" fillId="13" borderId="0" xfId="0" applyFont="1" applyFill="1" applyBorder="1"/>
    <xf numFmtId="0" fontId="0" fillId="13" borderId="0" xfId="0" applyFill="1" applyBorder="1" applyAlignment="1">
      <alignment horizontal="center"/>
    </xf>
    <xf numFmtId="0" fontId="0" fillId="13" borderId="0" xfId="0" applyFill="1" applyBorder="1"/>
    <xf numFmtId="0" fontId="4" fillId="13" borderId="0" xfId="0" applyFont="1" applyFill="1" applyBorder="1" applyAlignment="1">
      <alignment horizontal="center"/>
    </xf>
    <xf numFmtId="165" fontId="48" fillId="13" borderId="0" xfId="0" applyNumberFormat="1" applyFont="1" applyFill="1" applyBorder="1" applyAlignment="1">
      <alignment horizontal="center"/>
    </xf>
    <xf numFmtId="0" fontId="4" fillId="13" borderId="1" xfId="0" applyFont="1" applyFill="1" applyBorder="1"/>
    <xf numFmtId="0" fontId="0" fillId="13" borderId="1" xfId="0" applyFill="1" applyBorder="1" applyAlignment="1">
      <alignment horizontal="center"/>
    </xf>
    <xf numFmtId="10" fontId="4" fillId="13" borderId="1" xfId="13" applyNumberFormat="1" applyFont="1" applyFill="1" applyBorder="1" applyAlignment="1">
      <alignment horizontal="center"/>
    </xf>
    <xf numFmtId="165" fontId="4" fillId="13" borderId="1" xfId="0" applyNumberFormat="1" applyFont="1" applyFill="1" applyBorder="1" applyAlignment="1">
      <alignment horizontal="center"/>
    </xf>
    <xf numFmtId="0" fontId="0" fillId="13" borderId="0" xfId="0" applyFill="1" applyProtection="1">
      <protection locked="0"/>
    </xf>
    <xf numFmtId="0" fontId="49" fillId="4" borderId="1" xfId="0" applyFont="1" applyFill="1" applyBorder="1" applyAlignment="1">
      <alignment horizontal="left" vertical="center" wrapText="1"/>
    </xf>
    <xf numFmtId="165" fontId="4" fillId="0" borderId="0" xfId="0" applyNumberFormat="1" applyFont="1" applyAlignment="1" applyProtection="1">
      <alignment horizontal="center"/>
      <protection locked="0"/>
    </xf>
    <xf numFmtId="165" fontId="50" fillId="0" borderId="0" xfId="0" applyNumberFormat="1" applyFont="1" applyAlignment="1" applyProtection="1">
      <alignment horizontal="center"/>
      <protection locked="0"/>
    </xf>
    <xf numFmtId="0" fontId="5" fillId="12" borderId="0" xfId="10" applyFill="1" applyAlignment="1" applyProtection="1">
      <alignment horizontal="center"/>
    </xf>
    <xf numFmtId="0" fontId="20" fillId="0" borderId="0" xfId="0" applyFont="1"/>
    <xf numFmtId="0" fontId="43" fillId="10" borderId="0" xfId="0" applyFont="1" applyFill="1" applyAlignment="1">
      <alignment horizontal="center"/>
    </xf>
    <xf numFmtId="165" fontId="50" fillId="0" borderId="0" xfId="0" applyNumberFormat="1" applyFont="1" applyBorder="1" applyAlignment="1" applyProtection="1">
      <alignment horizontal="center"/>
      <protection locked="0"/>
    </xf>
    <xf numFmtId="165" fontId="0" fillId="2" borderId="1" xfId="0" applyNumberFormat="1" applyFill="1" applyBorder="1"/>
    <xf numFmtId="0" fontId="0" fillId="2" borderId="0" xfId="0" applyFill="1" applyBorder="1" applyAlignment="1">
      <alignment horizontal="center"/>
    </xf>
    <xf numFmtId="0" fontId="17" fillId="0" borderId="0" xfId="8" applyBorder="1" applyAlignment="1" applyProtection="1">
      <alignment horizontal="left" wrapText="1"/>
      <protection locked="0"/>
    </xf>
    <xf numFmtId="0" fontId="43" fillId="10" borderId="1" xfId="0" applyFont="1" applyFill="1" applyBorder="1" applyAlignment="1">
      <alignment horizontal="center"/>
    </xf>
    <xf numFmtId="0" fontId="51" fillId="0" borderId="0" xfId="7" applyFont="1" applyFill="1"/>
    <xf numFmtId="0" fontId="52" fillId="0" borderId="0" xfId="7" applyFont="1" applyFill="1"/>
    <xf numFmtId="0" fontId="53" fillId="0" borderId="0" xfId="7" applyFont="1" applyFill="1"/>
    <xf numFmtId="0" fontId="54" fillId="0" borderId="0" xfId="7" applyFont="1" applyFill="1"/>
    <xf numFmtId="0" fontId="0" fillId="0" borderId="2" xfId="0" applyBorder="1"/>
    <xf numFmtId="0" fontId="20" fillId="0" borderId="2" xfId="0" applyFont="1" applyBorder="1" applyAlignment="1">
      <alignment horizontal="center" wrapText="1"/>
    </xf>
    <xf numFmtId="0" fontId="20" fillId="0" borderId="2" xfId="0" applyFont="1" applyBorder="1" applyAlignment="1">
      <alignment horizontal="center"/>
    </xf>
    <xf numFmtId="0" fontId="18" fillId="0" borderId="2" xfId="9" applyBorder="1" applyAlignment="1">
      <alignment horizontal="right"/>
    </xf>
    <xf numFmtId="9" fontId="0" fillId="0" borderId="2" xfId="13" applyFont="1" applyBorder="1"/>
    <xf numFmtId="166" fontId="20" fillId="10" borderId="0" xfId="0" applyNumberFormat="1" applyFont="1" applyFill="1" applyAlignment="1" applyProtection="1">
      <alignment horizontal="left"/>
    </xf>
    <xf numFmtId="165" fontId="20" fillId="10" borderId="0" xfId="0" applyNumberFormat="1" applyFont="1" applyFill="1" applyAlignment="1" applyProtection="1">
      <alignment horizontal="left"/>
    </xf>
    <xf numFmtId="166" fontId="0" fillId="10" borderId="0" xfId="0" applyNumberFormat="1" applyFill="1" applyAlignment="1" applyProtection="1">
      <alignment horizontal="right" indent="2"/>
    </xf>
    <xf numFmtId="165" fontId="0" fillId="10" borderId="0" xfId="0" applyNumberFormat="1" applyFill="1" applyAlignment="1" applyProtection="1">
      <alignment horizontal="right" indent="2"/>
    </xf>
    <xf numFmtId="166" fontId="0" fillId="10" borderId="0" xfId="0" applyNumberFormat="1" applyFill="1" applyBorder="1" applyAlignment="1" applyProtection="1">
      <alignment horizontal="right" indent="2"/>
    </xf>
    <xf numFmtId="165" fontId="0" fillId="10" borderId="0" xfId="0" applyNumberFormat="1" applyFill="1" applyBorder="1" applyAlignment="1" applyProtection="1">
      <alignment horizontal="right" indent="2"/>
    </xf>
    <xf numFmtId="0" fontId="0" fillId="10" borderId="1" xfId="0" applyFill="1" applyBorder="1" applyAlignment="1">
      <alignment horizontal="center" vertical="center"/>
    </xf>
    <xf numFmtId="165" fontId="0" fillId="10" borderId="1" xfId="0" applyNumberFormat="1" applyFill="1" applyBorder="1"/>
    <xf numFmtId="0" fontId="1" fillId="11" borderId="0" xfId="0" applyFont="1" applyFill="1" applyAlignment="1">
      <alignment horizontal="center"/>
    </xf>
    <xf numFmtId="0" fontId="1" fillId="11" borderId="3" xfId="0" applyFont="1" applyFill="1" applyBorder="1" applyAlignment="1">
      <alignment horizontal="center"/>
    </xf>
    <xf numFmtId="0" fontId="0" fillId="11" borderId="3" xfId="0" applyFill="1" applyBorder="1"/>
    <xf numFmtId="0" fontId="1" fillId="11" borderId="0" xfId="0" applyFont="1" applyFill="1" applyBorder="1" applyAlignment="1">
      <alignment horizontal="center"/>
    </xf>
    <xf numFmtId="0" fontId="0" fillId="11" borderId="1" xfId="0" applyFill="1" applyBorder="1"/>
    <xf numFmtId="0" fontId="0" fillId="11" borderId="1" xfId="0" applyFill="1" applyBorder="1" applyAlignment="1">
      <alignment horizontal="center"/>
    </xf>
  </cellXfs>
  <cellStyles count="15">
    <cellStyle name="20% - Accent1" xfId="1" builtinId="30"/>
    <cellStyle name="60% - Accent1" xfId="2" builtinId="32"/>
    <cellStyle name="Accent1" xfId="3" builtinId="29"/>
    <cellStyle name="Accent6" xfId="4" builtinId="49"/>
    <cellStyle name="Comma" xfId="5" builtinId="3"/>
    <cellStyle name="Currency" xfId="6" builtinId="4"/>
    <cellStyle name="Explanatory Text" xfId="7" builtinId="53"/>
    <cellStyle name="Heading 1" xfId="8" builtinId="16"/>
    <cellStyle name="Heading 4" xfId="9" builtinId="19"/>
    <cellStyle name="Hyperlink" xfId="10" builtinId="8"/>
    <cellStyle name="Normal" xfId="0" builtinId="0"/>
    <cellStyle name="Normal 2" xfId="11"/>
    <cellStyle name="Note" xfId="12" builtinId="10"/>
    <cellStyle name="Percent" xfId="13" builtinId="5"/>
    <cellStyle name="Title" xfId="14" builtinId="15"/>
  </cellStyles>
  <dxfs count="0"/>
  <tableStyles count="0" defaultTableStyle="TableStyleMedium2" defaultPivotStyle="PivotStyleLight16"/>
  <colors>
    <mruColors>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104775</xdr:rowOff>
    </xdr:from>
    <xdr:to>
      <xdr:col>10</xdr:col>
      <xdr:colOff>419100</xdr:colOff>
      <xdr:row>7</xdr:row>
      <xdr:rowOff>19050</xdr:rowOff>
    </xdr:to>
    <xdr:pic>
      <xdr:nvPicPr>
        <xdr:cNvPr id="1065" name="Picture 4" descr="01UICALS-metallic.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04775"/>
          <a:ext cx="597217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xdr:row>
      <xdr:rowOff>0</xdr:rowOff>
    </xdr:from>
    <xdr:to>
      <xdr:col>4</xdr:col>
      <xdr:colOff>295275</xdr:colOff>
      <xdr:row>13</xdr:row>
      <xdr:rowOff>123825</xdr:rowOff>
    </xdr:to>
    <xdr:sp macro="" textlink="">
      <xdr:nvSpPr>
        <xdr:cNvPr id="1066" name="AutoShape 2" descr="data:image/jpeg;base64,/9j/4AAQSkZJRgABAQAAAQABAAD/2wCEAAkGBhQSERUUExQVFBQWFBcVFBcVFRUVFBQUFRYVFBQXFRUcHCYeFxojGhcUHy8gIycpLCwsFR4xNTAqNSYrLCkBCQoKDgwOFw8PGCkcHBwpKSkpLCksKSkpKSkpKSksKSkpKSkpLCkpKSkpKSkpKSkpKSwpKSksKSwpLCksLCkpLP/AABEIALcBEwMBIgACEQEDEQH/xAAcAAABBQEBAQAAAAAAAAAAAAADAAECBAUGBwj/xABIEAABAwIDAwkEBwcCAwkAAAABAAIRAyEEEjFBUWEFBhMicYGRofAyscHRBxQjQnKCklJTYqKy4fFDwjNUkxUWJERjg7PS4v/EABgBAQEBAQEAAAAAAAAAAAAAAAABAgME/8QAIBEBAQEAAgMAAgMAAAAAAAAAAAERAhIhMUETUQMiYf/aAAwDAQACEQMRAD8A9vSSSQJJJJAkkkkCUSpJIIgJJ0ggZyE6UYlRKCDAjAKLVIoIuahlhRkggC1pUiURRLEEAk5TDVB5ugrucol6JUCr1FqInmRGOVQFGlUgxqFCcUN1ZDdVQEe5UOUeUqdBhqVXtpsGrnGBJsBxJ3Bctzq+kyjhpp0QK9bSAfs2H+Nw1P8AC2dxIXmfKuNq4l3T4yrA0aDZo16tNl47BJ371m1HUcv/AEk1sQ51LBNLGRBqm1QjaRspDjJN9hXG4ttOgZrP6SqblskmTeXTc7bu8CqOI5dMdHQmm0mM33yTa0ezPCTfVPg+arz1q5NMTOUQ6s7aTBszfLr62WNWRWxHKlbEODGg30p0wTMb9ru+w3BaGB5rgXrmT+6pu/8AkqCw3Q2e1beCwLaYLabRTbHWyzmfE+289Z33racArdDDevXGB3FZ1ucVVlCwa0BjBoxgysk6GNpmTJk2RqeGtbbp2aDyk9ysin5n32H8snvRXi4Gmzx18GjzRrABhQbyBu102eUJI4oB1zt92zySVxnXvCSYFOtskklKSBJJJIEkkol6CSYuhCfUnRV62IiyuC3nlRLSqP1pWKVYlMTR4KfKUm1d6mFFM0KUJQkUDJJJIEmITpIBPaqlSmrz1XLZQV2tTliKWRc237l51zs+lhrHGjgWivU21daLdZywftCLXs2+pghW0dVy9y5QwlPpK9QMBs0XL3ncxgu49mmpgLyjlznxiccSyiDQobb9dwGpqPGg06rTFruIKwOU8c3Oa2Mqvr4hw9iZMDQO0DG3Jy2F7AyVluxGIxstY0NpAiQOrSZGmd/3iJFtdzQs2pizV5Uo4cZaQFV+159gfh/a7rcXKpQ5Nr4o9I9xawj/AIj9CN1Jg9ocGgN4hbXJ3NqnTgn7V+9w6gP8LDrsu6dPZC2vqxOsknf5fJY1qcWdyXyVTo3pNJfp0j71Ds6uymJt1b7yVoU8L53n3H3HxVptEC3qNvlPeE8+HwvPlm/UFG0cgHy8I/2+JThtu0x3Xv4Zik6/b7tfL2j3BOYHYBEDWIBPkGjvKoZoBPD53P8AKI71GqJPbbxu7ygd6m07+/8AqdH8oVTHV8jHO2xA/G/5D3KpbkY+O5Uf0jsrobMDut8ElWpcn1HDM1sg6HssfNJbebX066rZDOKVIYklT6SVcdhalTaojEKD3oNW2isSr7MUjioFkU6qKMUlhrQe9VKlfigVMUq1R0qSGjuxJQXVEKUN9RbZ1YbVgq03FysnpFMOKZprZp1pUvrcLHbiCE7sQSp1XWyzGXVkVAsCnVK0MK4lSwlaKSEHEIgKy0dJKVCtWaxpc4hrWiXFxAAA1JJ0CB6gsuf5x87sNgGZq74cRLKbetVfH7Ldg06xgCRdclzp+lcvLqPJwDjBD8S4fZs3mm0+1Ak5nW0gOGnleM5bAqFzScXiXmTUcXPGbXqDV5GwCw2GBClo6fnbzyxOOaTWd9Vwd/swTNQbM5jNUMfdiL6GJXHnldzz0WDY4b3W6Vw0zE6Um8Z7xoj0OQKtZ/SYt5nYwEF/YT7NMcBJ4Aro8HyW1oDWNDG6w3ad7jq4xFzJWbVxg8mc2AJdW+1J+4JyTMy51i89kC5u4LoWYQw0QIFmgABrRua0WCutw4ARCPK0eV/msteAmYcDw9d2xSB9cdPmPBTcLdvq/wAVE29etlu0BVUZtIPefGfce4qMet2nxj9BT1Hd+ztP9yR+tMR64Xnyn9aIiHdw+ETB/LlH5kneMXPGLmOOYgdycM2nie+ZI/VA/KnFuPbty6eLzPcggRaD3/l6zvF1ljcvVDLaYufaI3udZo9b1tu8tJP7LLuPisfkSl0+KLzo0l/wYPX7K1GOd+OpwGFFOkxg2NA74ufGU6OEl0Zx6NVtogmorlakqdQJFqIqpGsgkqBncqysZxvUulEKplKiSVVWS9QNTiq7noZemIO+qq76iYqJYiJCoiCqgCmUVtB24oCtMqQTNwrkehhCUU9Gdi1MLSMXCr4fCFplaVM2us2rImEkDGY1lJhqVHtYxolznEBo715hzp+lJz2kYZ31ehp9Ye09LUtJFCkRI7TfWzYlY1p2nOjnzh8CMryalY+zRp3qGdC79hutzusCvHueXPapXM4yplZMswlE2G41XbTpd27qgaLFp4mrWk4cOpscTmxFUl1WpMSQ65J/DOlyFp8k82m07gFz5k1H+1N5LW6M1N7nis2rjHbgq+KAD/8Aw9CxFMA5nD8Gru10DaAt7kzkZtJsU25ZsXG9R34nbuAgcFrU8IBxOpRi3YOzvWfbUVqeFA9bPXuRA3zRHQog7VQ8X7B67VGN3qfgnDbdvruKTR67fnoghqb+tl/cUwbtOy87fVv5VImPf3aQe3TtAUQfn7o84/UUESB4eXrrfoCZzuHd2QY8cg7kgO/b2jZ4iP1pAEn1rJg/qzH8qCJt27PGG+LiT3JuzZp3Wb3EyVI8O7+lvlJT03COy4/pYPGSgoct1slIgauimOwXefGQrnNLCZaOYi7zP5RZvdqe9YnKoNWu2k06QyeJu893wXZ0KYaABoAAOwAALpxjj7upJ0yS0r1ktQn4QFHUH8FlpVPJzU7sCI1Sc8hO2tNkAH4IITsE1XFWq1eCCscK1DNFiK6qNyXQA7FpFchu5Rhqs/Um8QmdyYI9pNiYEyoAjNxA2oJwUbVNlIDiqeU21bq60ACUNlEnYocpYinh6ZqV6jabBqSduwAaucdABcrNqrjKkrn+cfPylhiabB0+IGtNhAbTtM1qmlMeJ4LhudP0kOcTRoCpSBFmsg4yqN+7DM4nrRuXK0ORaldsVupTmRQpuIaCZJNWqL1Xb43WKxb+lF5c5218bV1GJe0jKAS3B0JtIE9d3Em+wnRDwfNwveKld3TP4/8ACZwazb3wP4dq3sJyY1gAAAA0aBDR2DxVwW9evQWWsVqWDA1ufkiu4KRTBs+vFMUzUyIQoT69erIBuCcDYmA8r+vJTYNvr1wQRqu+Xr4FRybPU8fcUtvr1B8knOgeQ93du8EEXmT60H+Ce1qZx+XYLz/u8lAO89PK/uPe5Ind3T3f/gd5RTucezZHGbecfoURpbTQdhsD4AnvQq1cNF3AAXkmN4nwzH8wVLGc48OwQareIZLyJ1BDZ+6AO9EX9fW11m+DQfFKtiQxpcdGgv8AKGhcxiOflMTkY9xvuaL8TewgaLE5S53VaoIAawHWOsY2QTYablUtdfzSo56rqrrwLH+J5kntj+pdaDdeJUeWK7PYrVGjWGuIHkjDnNih/wCYq/qW5WJMezgp14yOdeL/AOYqeI+SSumPrQV+KkMSFTy8VIUOJTIalWqhANeEQUhtnyU6eHb/AJTweVcYlQfXV44du5DdhBuU2GVQNRTa4orqUaDyUHOduPgtImxjkQtKqEv3FO0v4oaMcM4olHCEG5VHlHllmHZnquyjQWkuO5o1Pw1MLz7ljnviMZLMODTon70nrCNrmkF406rCG69d2izbi463nP8ASPQwgLaZbUqg5dT0THXGUuEmo+x+zZLt+WZXm2NxeLx1TpKj3M3OcB0oB2UqfsYcbJu8wJVvAcgtpkOcS94EBzokD9loAAY3g0Ab5WmGxouet4zuTeQqdEENbEmXalzjMy5xu4ytICEglKKUpkiouKB8yQaopPqhokkAbyYCB3KD3WWRjed2GZY1Q47mS+/aJA71j4v6QG6U6RPF5DQewCT7lUdWNOJ9XU3ugR64T8151iue2Jd7JZTGyGy4d7iZ8Fk4nlatU9uq93AuIH6RbyQ16XiOV6NM9eqwHcXCT+XXtWPjue9AWaKlTZZsdvtRst3Arg2G9o7knuKJrpq3P2ofZpNbbaSe2wA3u27VnV+ddd09ct/CANZm8TtKyC9NKGi18WX3cS78RLvemc+Agyj1m9XuCAJemzqKSqJZksygnLkEsyShKSuD7Eho0SIKosx4O0eCM2qVrE0RzCmLH+oTdMpipO1PIh0b/RS643ouYqX1jgm0yK/Su3HwS6Y7j4FVsdzoo0XZXkzEkgSGiYl0X13KxX5TZ0JqiXtyyMolzpMDKLbd6z2hiQrHaua5Z5+taTSwzenq6E/6TDxdo7ZYecQs/lfE1sTaqeipfumO6zh/6tTb2NtxKzaDWhoDAGt2ACPJS1qT9qFfk99Z/SYp5qut1T7AgyLbY3aSJACthsaWQcZylSpXqVGM/E5o96xcZz5wzJyudUO5jSQfzGB5rKt9IricT9I37uj3vcB/K0GfFY+J56Yp49trPwMA83ZlTXppdaVnYnnDh6dnVmA7QHZnfpEleXYjGVKhh73v4Oc5w36EwgU9vAfJE16FX5/UG+w2o/8AKGj+Yg+SycT9IFQzkpsZuzEvt2dVcrSvPZPuQi9DW3iudeJeb1S3gwNaPGM3msqpVLzLi553uJcfEklNiGw8jip4eg65LXAZdYMajaiAlyencjtRG8nVTA6N8nSWuE2m0jciUOTqgqta5hB1IMaQ4z4Nd4IKrzdRzK3i8A4BryAGvdlaSR3ztAsVBmBB/wBWiO17h/tVAqF3AcUq1j3KzyThw6oJe1pFwDMvN7N9bUV2DplzM1UMzEhwj2AASHG+0wFBmEppWtgcDhnZ+kr5YqFrYy9ZgiH3B1ujU8BhOmLTVJpdGCHZgOvmIiQ3SI8VRhFX69P7IH+BvwW8zAcn/tA221KiY4amarQADSMQDcFs2112LNVykKJcOHit+rhm/W6jWdE1oaC3OwPZ7LJABsDJN+1XGve2IrYZsbqTB8VoxyzROl+y6MzBVDpTqHsY4/BbGDxr21qxFei0uyy4gZXwD7Am0bVcdy1V/wCaodzJ+KaOeHJdX91V/wCm/wCSS3/+26n/ADNL/pFJQ8OyaHsPUqPHYXC8cFcocuYxns1T3wfeFk5jvPiUiDxV/I5uv5P5/VmT9YY14jqlnVM7Z1G7YrTvpLp/uX/qHyXD9HvT9G3dKxf5F12bvpQpj/Sd+sfJQd9KrIkUSf8A3B/9VxjqTN3vVerRYNJWPzDW5T5z0q1bpHMcZJJaXB3YJjSbx2jatXH/AEpM6DLTomWjQ1AAQ0WEwTu2bFxjsvH/AArDcPRcNanYBceUKceW+mp5V+UOfeKqg5RTpCNgL3DscSB5LnsXyziajRnrVNdA7IItaGxZdHW5vh3sP7nNI7ll1ub9YEdQdxkdugP+F1ljVlc83D3nedduu1I0rdx/pB+K06+HLBLmERrJ2+1pM7N2wqvlbDpOUgaEwTLQ0ZZFzHq4VTFR1K/5mjxCg9vVP4o8lqUsMHk5bw5pMFsQOqNYnTzG2yBUw4yOv9+bt0BAgWJ2uF+IQwFrBniAbG95b1dkGJ7Z1T0BJd1GjqzYPOmW3WcbHWPgrBonpSZEAH9rYwi9o14oeGonr9Zp6h+8LGW67kTAsG3rH8LjpxCdmNcIh0Rp9nTtYj9i+p1RsFhXAuJH3DoWnUtAiCZQK2EeB7LtD913yQTxj4e4SR1ptbTMP9x8UTCVi7MMzyMmjnOcPaYND2+SHym6Krtlz70uTHdZ15HRn+ump8VBmLIIJc8xpmc8xaLdYFFwlbNXYb7B97+IbSToVTLzrJ4aqzybUJxFKST1h7j/AHVqI4uqbC8NIjXaNnjsTdIdBnj8ybGv6xHZHCyCap3+5BY5IqkVWgTdwB7OKli6rg5sF1tInUiDHGJTcjn7ZnF4HnPrtSxxIeI2QQig06rxMF4kkmCRc7TxS6R06umNZMxu10UXViCbxfzSdXMzJBiNUROHH9s+JK2MXR+xYIM9EwEHXNMGyxWYx+87+8XC2sXUJwzXHU0mkm2sypVYnQGYDbxp8VI4d/7s+I+ah0uh2xBsN/8AhT+tu3jwb8lURbSdJGS41EiymcK8/wCmfFvzQhVdJM666fJTGJdv9yCwBV/dj9NL5JKt9Zdv9ydB6HnS6RBlLMvNrA3SKJrIMqLis0EfUCA+ooOKZ6zQzyh5yDYkJ3NshkKI08PyzcB4HaB71ptxQ2f28FzSsUMUW9m0f3XWc/27cefyt97mO9to948Cg1eQaTwMoiCSMpggkXMdyqUMUDae50eRVjNwW5XTxWZV5nMDYadoJJkFwGwubqJg8CJCoY7mzUcWC8QQ8tOYT1nhwBuJcSD+LYBC6VmNI2+KsMxLXaiOIuPn5LXap1jisTyOWS8vbADiQQWn2CNvyWXg2vc4NAk9W0iA1zm2J+7cjXjuXpb8MHC0OHGD5bFUqcltv1YmxLbFO1TrHn+HDr5RDSx7iSOqGtbmBz6kmHCOzfaeGpOLargWtcwGxOuYhgiDEhx1Ji41XaV+SwaZY0gC14h4AcHEBwvBiOzcsz/u8WukjqAaMsTHs5hoYts2b7q94dGFXrHO77QtbLicoJLYI9ptiLuAnTVNhsbLntvApky+MwIdTzTYWmddkStWryO3piYc5sZmyQyHtkw7eNCOw8Jz+VuTnNhzQA1xJJlsgF0gO3AmNdoWpZUyxB1Hrsb0dFjXkhruoWnKcriDuzW0CFhMRT6Wm7KGgEEuMtgEWOseITswlZ7RUiLHrGTLbuMz36b0HkimTVaSJa03sSIFk3wymaGZ5b0cvhsgVIzEgERqCTI03obeT22Lg+mDtcWwN0jJIvaY71WBykZdJzAC0OggEEX467Ft0uXCadXMT0lVjmDYzrlhBj7sde+sRKoByXgGfWGZKofBDoyxIB3kj3IOJwgIzlwbsuDx0ImdCi56rKzKTuq5tQPyPuQ5rcrQXCbEGFQxGMD7AFoGWGmHHNEP61oEkx2p9X4JS5OLpyuaTGgzb+IG1Adg3nQA9j6Z/wByjTqkGQSOzuKLgsP0jw0kAAOc50DqtABcTv2gdoCIG7k+qLim7Tt8wtvG0yMPTbBzdCLQZEGLiJWfi6GWrDQ10hoBcAWuMXcItM+7atoYTp2u/wBJ1CmcwiGmM4PRmbNETJ4KVY5VwjW3bb3pBy6jm9hhWYQ51RtQNztzPdlqNmJAmwBue0KlgMZSc8Zz9m42dWyiwBmcrCBeBMj4qpjFlKVu9Jhi3MKZgSHEMADSDc6AkQWnf1gqGKfRkljCQbtkvbI3zMHwQxRSWrTwuFIGarlO1suMd+VOqY6jNCYlB6RLpF43MUkqDyUMvKiXKCUpi5RSY7h8/BRExUn+yGQk+rHoSodJPE+9MVMhMX8JQy71KQfF5/wmIk1yu0OUXARs4wVSMGY+O3cnyHZPgtSN8WvTxAdtEpnUyNCR2aLMY8jUHtRm4gk2PbbRdY76OOUXNPW8RMq/S5bG8HZexVEYcRLyQN8CB3yPchPfRvDgbftDvmy1ia36eMY7WR3SPmp9ADofAyubZXb92pYag3A74VrDYkm7XB0bjopjUsar6BOwO7QqmI5KpvBDmRPhZN/2mRqJ8ijN5Snb3G/uUVUHJfVLGO6haWln3YIg2WdR5BNKA0BwmXFwDnHbqt3pWHWyQ/hee+491kHG8scnuIy06LA0EQ4BucjNVkTuAcwdjGpYTm6COs9pOgEuBA09qRfguxqNO1odxA+armmw6ty+Svas9YyMXyU92INTKTmqB1iHQGtysExsE+K59/Ij4kg5oE6jrcTGXzXajB3lriN8G3kjdK8TOVw2TBPuCdqdXnRwDgJItoSCHRqJJEgDRPUxzmsyCJfOcgDMW5gWtndYT2LvappPs+mB63RZZXLuDaRQpsDcjXOIgaCbNIGgJe6fw8Vqc9ZvCxx9ZxFp00jZpoe5dDicaBRAdP2tLIXSbNL5cTe5s25m071kYui19dzKVItbOUDM5wBHtPzG8TNjshbVfkN5DDGZopZeo4GHAk7eBG1at9Mz6q8iVatBtWKQqdJSyAl16bc18vbGzcEDljkMYer0dN/SgUxUNoIBsPHWNYV2lg3Mpuac4cTYlpsNglpdoULGYXpXdI2oBUJGYNNgGMAbO20AdvammM7GPa1+WhUeabRnBeQDniXQBHAcSOxTxnLT61JtN8HK8uDtHOzTIdsNzKflLCNNWoROWRk6uS4gG2/b3qtSph1RjcobsMkkEiTJnQHSFtACJMpLTwdGuWAsY7KSSAGyBJMgdhkJIy3yY0TEFSLghhxPrReGMisjgpOPAKLQBtk9ikH8Fi+AFxO8IebciVOxChaiEU5vb/CWSBrff2p3EEevegdonYfcma71b5IUg7wB57bIzSOz1809KkanCN6mKu6fXFQMbdEzXDZb+ygm4k+vchAHh23siPcPXqEPpm71ucm5yEFYt2nx17pVtmKbHWpA6iQ0GR3LPbimO9nzlX6VARsnxXWcnTj/AGDGFpzma5zDEEQYuofVMsltUT2QfJTe4CBOXW+zvS6QGxPZAt4q631SpVjN3AjiD4TCPmbs9yA6nF2ye1DbG0FvmEMWXY4N1BjfbzUm40Hj2KuaBIsZ7DdQDHDf3hBpNxO53wROnPA9vxWRF7tg7wi03wbSeH9lBpMpjU27JCZzy3Qz2g++FVbiu1HbVB2hFE+tg+0wpnimRaPCEgfQKmygw62PagqvwgIgWHgPLVRp4ZzPZMRuJHkrf1Ej2T4XUbjcfBTACpjqn3gDsu0a98cECtWYSA6kDbfaeEq4Kx2iPAqLngiCLcLIKTOS6DgYcacbLhp4RMKhX5rtvle1xJnra9xsQtroGEWcR+IT5hQfydm0Mzuj4qzlYnWMIc3qzbBjTHF3ySW+MNUbYOfbikr3rPRkgSLe/f8A3SfVIIAsTuTpLMjlnhIu33KnnSSXHlGA88qNQDS5hJJZntAevtHYN8IjGSAT2dySS38azwcZSYj1sUsgb70klP8ABIvE3F0xI9DZKSSLEH1IcLa9kRbZ3pnVgDAiTrA7zdJJXESZVtIGm3yPxSNW4AN+E+/uTpKxYTq5+/BjT/KsMrU3C4g6aeCSS6R241oNwQiJ0Tu5O4+5Mkq2EzARodvuUelvB+aSSArMOHaWQquDI2gJkkXBKeHMXh070J7CNlu3xTpImEwn7hHYZRfrbz91nfJ8E6SAT8RVExkE8D81A1ax+83wSSQDNSpIlw8I+HxRMr/2522gfBOkqgYaQZkztkpzVAN58SkkgK3GcSkkkmD/2Q=="/>
        <xdr:cNvSpPr>
          <a:spLocks noChangeAspect="1" noChangeArrowheads="1"/>
        </xdr:cNvSpPr>
      </xdr:nvSpPr>
      <xdr:spPr bwMode="auto">
        <a:xfrm>
          <a:off x="2152650" y="2286000"/>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xdr:row>
      <xdr:rowOff>0</xdr:rowOff>
    </xdr:from>
    <xdr:to>
      <xdr:col>4</xdr:col>
      <xdr:colOff>295275</xdr:colOff>
      <xdr:row>11</xdr:row>
      <xdr:rowOff>123825</xdr:rowOff>
    </xdr:to>
    <xdr:sp macro="" textlink="">
      <xdr:nvSpPr>
        <xdr:cNvPr id="1067" name="AutoShape 3" descr="data:image/jpeg;base64,/9j/4AAQSkZJRgABAQAAAQABAAD/2wCEAAkGBhQSERUUExQVFBQWFBcVFBcVFRUVFBQUFRYVFBQXFRUcHCYeFxojGhcUHy8gIycpLCwsFR4xNTAqNSYrLCkBCQoKDgwOFw8PGCkcHBwpKSkpLCksKSkpKSkpKSksKSkpKSkpLCkpKSkpKSkpKSkpKSwpKSksKSwpLCksLCkpLP/AABEIALcBEwMBIgACEQEDEQH/xAAcAAABBQEBAQAAAAAAAAAAAAADAAECBAUGBwj/xABIEAABAwIDAwkEBwcCAwkAAAABAAIRAyEEEjFBUWEFBhMicYGRofAyscHRBxQjQnKCklJTYqKy4fFDwjNUkxUWJERjg7PS4v/EABgBAQEBAQEAAAAAAAAAAAAAAAABAgME/8QAIBEBAQEAAgMAAgMAAAAAAAAAAAERAhIhMUETUQMiYf/aAAwDAQACEQMRAD8A9vSSSQJJJJAkkkkCUSpJIIgJJ0ggZyE6UYlRKCDAjAKLVIoIuahlhRkggC1pUiURRLEEAk5TDVB5ugrucol6JUCr1FqInmRGOVQFGlUgxqFCcUN1ZDdVQEe5UOUeUqdBhqVXtpsGrnGBJsBxJ3Bctzq+kyjhpp0QK9bSAfs2H+Nw1P8AC2dxIXmfKuNq4l3T4yrA0aDZo16tNl47BJ371m1HUcv/AEk1sQ51LBNLGRBqm1QjaRspDjJN9hXG4ttOgZrP6SqblskmTeXTc7bu8CqOI5dMdHQmm0mM33yTa0ezPCTfVPg+arz1q5NMTOUQ6s7aTBszfLr62WNWRWxHKlbEODGg30p0wTMb9ru+w3BaGB5rgXrmT+6pu/8AkqCw3Q2e1beCwLaYLabRTbHWyzmfE+289Z33racArdDDevXGB3FZ1ucVVlCwa0BjBoxgysk6GNpmTJk2RqeGtbbp2aDyk9ysin5n32H8snvRXi4Gmzx18GjzRrABhQbyBu102eUJI4oB1zt92zySVxnXvCSYFOtskklKSBJJJIEkkol6CSYuhCfUnRV62IiyuC3nlRLSqP1pWKVYlMTR4KfKUm1d6mFFM0KUJQkUDJJJIEmITpIBPaqlSmrz1XLZQV2tTliKWRc237l51zs+lhrHGjgWivU21daLdZywftCLXs2+pghW0dVy9y5QwlPpK9QMBs0XL3ncxgu49mmpgLyjlznxiccSyiDQobb9dwGpqPGg06rTFruIKwOU8c3Oa2Mqvr4hw9iZMDQO0DG3Jy2F7AyVluxGIxstY0NpAiQOrSZGmd/3iJFtdzQs2pizV5Uo4cZaQFV+159gfh/a7rcXKpQ5Nr4o9I9xawj/AIj9CN1Jg9ocGgN4hbXJ3NqnTgn7V+9w6gP8LDrsu6dPZC2vqxOsknf5fJY1qcWdyXyVTo3pNJfp0j71Ds6uymJt1b7yVoU8L53n3H3HxVptEC3qNvlPeE8+HwvPlm/UFG0cgHy8I/2+JThtu0x3Xv4Zik6/b7tfL2j3BOYHYBEDWIBPkGjvKoZoBPD53P8AKI71GqJPbbxu7ygd6m07+/8AqdH8oVTHV8jHO2xA/G/5D3KpbkY+O5Uf0jsrobMDut8ElWpcn1HDM1sg6HssfNJbebX066rZDOKVIYklT6SVcdhalTaojEKD3oNW2isSr7MUjioFkU6qKMUlhrQe9VKlfigVMUq1R0qSGjuxJQXVEKUN9RbZ1YbVgq03FysnpFMOKZprZp1pUvrcLHbiCE7sQSp1XWyzGXVkVAsCnVK0MK4lSwlaKSEHEIgKy0dJKVCtWaxpc4hrWiXFxAAA1JJ0CB6gsuf5x87sNgGZq74cRLKbetVfH7Ldg06xgCRdclzp+lcvLqPJwDjBD8S4fZs3mm0+1Ak5nW0gOGnleM5bAqFzScXiXmTUcXPGbXqDV5GwCw2GBClo6fnbzyxOOaTWd9Vwd/swTNQbM5jNUMfdiL6GJXHnldzz0WDY4b3W6Vw0zE6Um8Z7xoj0OQKtZ/SYt5nYwEF/YT7NMcBJ4Aro8HyW1oDWNDG6w3ad7jq4xFzJWbVxg8mc2AJdW+1J+4JyTMy51i89kC5u4LoWYQw0QIFmgABrRua0WCutw4ARCPK0eV/msteAmYcDw9d2xSB9cdPmPBTcLdvq/wAVE29etlu0BVUZtIPefGfce4qMet2nxj9BT1Hd+ztP9yR+tMR64Xnyn9aIiHdw+ETB/LlH5kneMXPGLmOOYgdycM2nie+ZI/VA/KnFuPbty6eLzPcggRaD3/l6zvF1ljcvVDLaYufaI3udZo9b1tu8tJP7LLuPisfkSl0+KLzo0l/wYPX7K1GOd+OpwGFFOkxg2NA74ufGU6OEl0Zx6NVtogmorlakqdQJFqIqpGsgkqBncqysZxvUulEKplKiSVVWS9QNTiq7noZemIO+qq76iYqJYiJCoiCqgCmUVtB24oCtMqQTNwrkehhCUU9Gdi1MLSMXCr4fCFplaVM2us2rImEkDGY1lJhqVHtYxolznEBo715hzp+lJz2kYZ31ehp9Ye09LUtJFCkRI7TfWzYlY1p2nOjnzh8CMryalY+zRp3qGdC79hutzusCvHueXPapXM4yplZMswlE2G41XbTpd27qgaLFp4mrWk4cOpscTmxFUl1WpMSQ65J/DOlyFp8k82m07gFz5k1H+1N5LW6M1N7nis2rjHbgq+KAD/8Aw9CxFMA5nD8Gru10DaAt7kzkZtJsU25ZsXG9R34nbuAgcFrU8IBxOpRi3YOzvWfbUVqeFA9bPXuRA3zRHQog7VQ8X7B67VGN3qfgnDbdvruKTR67fnoghqb+tl/cUwbtOy87fVv5VImPf3aQe3TtAUQfn7o84/UUESB4eXrrfoCZzuHd2QY8cg7kgO/b2jZ4iP1pAEn1rJg/qzH8qCJt27PGG+LiT3JuzZp3Wb3EyVI8O7+lvlJT03COy4/pYPGSgoct1slIgauimOwXefGQrnNLCZaOYi7zP5RZvdqe9YnKoNWu2k06QyeJu893wXZ0KYaABoAAOwAALpxjj7upJ0yS0r1ktQn4QFHUH8FlpVPJzU7sCI1Sc8hO2tNkAH4IITsE1XFWq1eCCscK1DNFiK6qNyXQA7FpFchu5Rhqs/Um8QmdyYI9pNiYEyoAjNxA2oJwUbVNlIDiqeU21bq60ACUNlEnYocpYinh6ZqV6jabBqSduwAaucdABcrNqrjKkrn+cfPylhiabB0+IGtNhAbTtM1qmlMeJ4LhudP0kOcTRoCpSBFmsg4yqN+7DM4nrRuXK0ORaldsVupTmRQpuIaCZJNWqL1Xb43WKxb+lF5c5218bV1GJe0jKAS3B0JtIE9d3Em+wnRDwfNwveKld3TP4/8ACZwazb3wP4dq3sJyY1gAAAA0aBDR2DxVwW9evQWWsVqWDA1ufkiu4KRTBs+vFMUzUyIQoT69erIBuCcDYmA8r+vJTYNvr1wQRqu+Xr4FRybPU8fcUtvr1B8knOgeQ93du8EEXmT60H+Ce1qZx+XYLz/u8lAO89PK/uPe5Ind3T3f/gd5RTucezZHGbecfoURpbTQdhsD4AnvQq1cNF3AAXkmN4nwzH8wVLGc48OwQareIZLyJ1BDZ+6AO9EX9fW11m+DQfFKtiQxpcdGgv8AKGhcxiOflMTkY9xvuaL8TewgaLE5S53VaoIAawHWOsY2QTYablUtdfzSo56rqrrwLH+J5kntj+pdaDdeJUeWK7PYrVGjWGuIHkjDnNih/wCYq/qW5WJMezgp14yOdeL/AOYqeI+SSumPrQV+KkMSFTy8VIUOJTIalWqhANeEQUhtnyU6eHb/AJTweVcYlQfXV44du5DdhBuU2GVQNRTa4orqUaDyUHOduPgtImxjkQtKqEv3FO0v4oaMcM4olHCEG5VHlHllmHZnquyjQWkuO5o1Pw1MLz7ljnviMZLMODTon70nrCNrmkF406rCG69d2izbi463nP8ASPQwgLaZbUqg5dT0THXGUuEmo+x+zZLt+WZXm2NxeLx1TpKj3M3OcB0oB2UqfsYcbJu8wJVvAcgtpkOcS94EBzokD9loAAY3g0Ab5WmGxouet4zuTeQqdEENbEmXalzjMy5xu4ytICEglKKUpkiouKB8yQaopPqhokkAbyYCB3KD3WWRjed2GZY1Q47mS+/aJA71j4v6QG6U6RPF5DQewCT7lUdWNOJ9XU3ugR64T8151iue2Jd7JZTGyGy4d7iZ8Fk4nlatU9uq93AuIH6RbyQ16XiOV6NM9eqwHcXCT+XXtWPjue9AWaKlTZZsdvtRst3Arg2G9o7knuKJrpq3P2ofZpNbbaSe2wA3u27VnV+ddd09ct/CANZm8TtKyC9NKGi18WX3cS78RLvemc+Agyj1m9XuCAJemzqKSqJZksygnLkEsyShKSuD7Eho0SIKosx4O0eCM2qVrE0RzCmLH+oTdMpipO1PIh0b/RS643ouYqX1jgm0yK/Su3HwS6Y7j4FVsdzoo0XZXkzEkgSGiYl0X13KxX5TZ0JqiXtyyMolzpMDKLbd6z2hiQrHaua5Z5+taTSwzenq6E/6TDxdo7ZYecQs/lfE1sTaqeipfumO6zh/6tTb2NtxKzaDWhoDAGt2ACPJS1qT9qFfk99Z/SYp5qut1T7AgyLbY3aSJACthsaWQcZylSpXqVGM/E5o96xcZz5wzJyudUO5jSQfzGB5rKt9IricT9I37uj3vcB/K0GfFY+J56Yp49trPwMA83ZlTXppdaVnYnnDh6dnVmA7QHZnfpEleXYjGVKhh73v4Oc5w36EwgU9vAfJE16FX5/UG+w2o/8AKGj+Yg+SycT9IFQzkpsZuzEvt2dVcrSvPZPuQi9DW3iudeJeb1S3gwNaPGM3msqpVLzLi553uJcfEklNiGw8jip4eg65LXAZdYMajaiAlyencjtRG8nVTA6N8nSWuE2m0jciUOTqgqta5hB1IMaQ4z4Nd4IKrzdRzK3i8A4BryAGvdlaSR3ztAsVBmBB/wBWiO17h/tVAqF3AcUq1j3KzyThw6oJe1pFwDMvN7N9bUV2DplzM1UMzEhwj2AASHG+0wFBmEppWtgcDhnZ+kr5YqFrYy9ZgiH3B1ujU8BhOmLTVJpdGCHZgOvmIiQ3SI8VRhFX69P7IH+BvwW8zAcn/tA221KiY4amarQADSMQDcFs2112LNVykKJcOHit+rhm/W6jWdE1oaC3OwPZ7LJABsDJN+1XGve2IrYZsbqTB8VoxyzROl+y6MzBVDpTqHsY4/BbGDxr21qxFei0uyy4gZXwD7Am0bVcdy1V/wCaodzJ+KaOeHJdX91V/wCm/wCSS3/+26n/ADNL/pFJQ8OyaHsPUqPHYXC8cFcocuYxns1T3wfeFk5jvPiUiDxV/I5uv5P5/VmT9YY14jqlnVM7Z1G7YrTvpLp/uX/qHyXD9HvT9G3dKxf5F12bvpQpj/Sd+sfJQd9KrIkUSf8A3B/9VxjqTN3vVerRYNJWPzDW5T5z0q1bpHMcZJJaXB3YJjSbx2jatXH/AEpM6DLTomWjQ1AAQ0WEwTu2bFxjsvH/AArDcPRcNanYBceUKceW+mp5V+UOfeKqg5RTpCNgL3DscSB5LnsXyziajRnrVNdA7IItaGxZdHW5vh3sP7nNI7ll1ub9YEdQdxkdugP+F1ljVlc83D3nedduu1I0rdx/pB+K06+HLBLmERrJ2+1pM7N2wqvlbDpOUgaEwTLQ0ZZFzHq4VTFR1K/5mjxCg9vVP4o8lqUsMHk5bw5pMFsQOqNYnTzG2yBUw4yOv9+bt0BAgWJ2uF+IQwFrBniAbG95b1dkGJ7Z1T0BJd1GjqzYPOmW3WcbHWPgrBonpSZEAH9rYwi9o14oeGonr9Zp6h+8LGW67kTAsG3rH8LjpxCdmNcIh0Rp9nTtYj9i+p1RsFhXAuJH3DoWnUtAiCZQK2EeB7LtD913yQTxj4e4SR1ptbTMP9x8UTCVi7MMzyMmjnOcPaYND2+SHym6Krtlz70uTHdZ15HRn+ump8VBmLIIJc8xpmc8xaLdYFFwlbNXYb7B97+IbSToVTLzrJ4aqzybUJxFKST1h7j/AHVqI4uqbC8NIjXaNnjsTdIdBnj8ybGv6xHZHCyCap3+5BY5IqkVWgTdwB7OKli6rg5sF1tInUiDHGJTcjn7ZnF4HnPrtSxxIeI2QQig06rxMF4kkmCRc7TxS6R06umNZMxu10UXViCbxfzSdXMzJBiNUROHH9s+JK2MXR+xYIM9EwEHXNMGyxWYx+87+8XC2sXUJwzXHU0mkm2sypVYnQGYDbxp8VI4d/7s+I+ah0uh2xBsN/8AhT+tu3jwb8lURbSdJGS41EiymcK8/wCmfFvzQhVdJM666fJTGJdv9yCwBV/dj9NL5JKt9Zdv9ydB6HnS6RBlLMvNrA3SKJrIMqLis0EfUCA+ooOKZ6zQzyh5yDYkJ3NshkKI08PyzcB4HaB71ptxQ2f28FzSsUMUW9m0f3XWc/27cefyt97mO9to948Cg1eQaTwMoiCSMpggkXMdyqUMUDae50eRVjNwW5XTxWZV5nMDYadoJJkFwGwubqJg8CJCoY7mzUcWC8QQ8tOYT1nhwBuJcSD+LYBC6VmNI2+KsMxLXaiOIuPn5LXap1jisTyOWS8vbADiQQWn2CNvyWXg2vc4NAk9W0iA1zm2J+7cjXjuXpb8MHC0OHGD5bFUqcltv1YmxLbFO1TrHn+HDr5RDSx7iSOqGtbmBz6kmHCOzfaeGpOLargWtcwGxOuYhgiDEhx1Ji41XaV+SwaZY0gC14h4AcHEBwvBiOzcsz/u8WukjqAaMsTHs5hoYts2b7q94dGFXrHO77QtbLicoJLYI9ptiLuAnTVNhsbLntvApky+MwIdTzTYWmddkStWryO3piYc5sZmyQyHtkw7eNCOw8Jz+VuTnNhzQA1xJJlsgF0gO3AmNdoWpZUyxB1Hrsb0dFjXkhruoWnKcriDuzW0CFhMRT6Wm7KGgEEuMtgEWOseITswlZ7RUiLHrGTLbuMz36b0HkimTVaSJa03sSIFk3wymaGZ5b0cvhsgVIzEgERqCTI03obeT22Lg+mDtcWwN0jJIvaY71WBykZdJzAC0OggEEX467Ft0uXCadXMT0lVjmDYzrlhBj7sde+sRKoByXgGfWGZKofBDoyxIB3kj3IOJwgIzlwbsuDx0ImdCi56rKzKTuq5tQPyPuQ5rcrQXCbEGFQxGMD7AFoGWGmHHNEP61oEkx2p9X4JS5OLpyuaTGgzb+IG1Adg3nQA9j6Z/wByjTqkGQSOzuKLgsP0jw0kAAOc50DqtABcTv2gdoCIG7k+qLim7Tt8wtvG0yMPTbBzdCLQZEGLiJWfi6GWrDQ10hoBcAWuMXcItM+7atoYTp2u/wBJ1CmcwiGmM4PRmbNETJ4KVY5VwjW3bb3pBy6jm9hhWYQ51RtQNztzPdlqNmJAmwBue0KlgMZSc8Zz9m42dWyiwBmcrCBeBMj4qpjFlKVu9Jhi3MKZgSHEMADSDc6AkQWnf1gqGKfRkljCQbtkvbI3zMHwQxRSWrTwuFIGarlO1suMd+VOqY6jNCYlB6RLpF43MUkqDyUMvKiXKCUpi5RSY7h8/BRExUn+yGQk+rHoSodJPE+9MVMhMX8JQy71KQfF5/wmIk1yu0OUXARs4wVSMGY+O3cnyHZPgtSN8WvTxAdtEpnUyNCR2aLMY8jUHtRm4gk2PbbRdY76OOUXNPW8RMq/S5bG8HZexVEYcRLyQN8CB3yPchPfRvDgbftDvmy1ia36eMY7WR3SPmp9ADofAyubZXb92pYag3A74VrDYkm7XB0bjopjUsar6BOwO7QqmI5KpvBDmRPhZN/2mRqJ8ijN5Snb3G/uUVUHJfVLGO6haWln3YIg2WdR5BNKA0BwmXFwDnHbqt3pWHWyQ/hee+491kHG8scnuIy06LA0EQ4BucjNVkTuAcwdjGpYTm6COs9pOgEuBA09qRfguxqNO1odxA+armmw6ty+Svas9YyMXyU92INTKTmqB1iHQGtysExsE+K59/Ij4kg5oE6jrcTGXzXajB3lriN8G3kjdK8TOVw2TBPuCdqdXnRwDgJItoSCHRqJJEgDRPUxzmsyCJfOcgDMW5gWtndYT2LvappPs+mB63RZZXLuDaRQpsDcjXOIgaCbNIGgJe6fw8Vqc9ZvCxx9ZxFp00jZpoe5dDicaBRAdP2tLIXSbNL5cTe5s25m071kYui19dzKVItbOUDM5wBHtPzG8TNjshbVfkN5DDGZopZeo4GHAk7eBG1at9Mz6q8iVatBtWKQqdJSyAl16bc18vbGzcEDljkMYer0dN/SgUxUNoIBsPHWNYV2lg3Mpuac4cTYlpsNglpdoULGYXpXdI2oBUJGYNNgGMAbO20AdvammM7GPa1+WhUeabRnBeQDniXQBHAcSOxTxnLT61JtN8HK8uDtHOzTIdsNzKflLCNNWoROWRk6uS4gG2/b3qtSph1RjcobsMkkEiTJnQHSFtACJMpLTwdGuWAsY7KSSAGyBJMgdhkJIy3yY0TEFSLghhxPrReGMisjgpOPAKLQBtk9ikH8Fi+AFxO8IebciVOxChaiEU5vb/CWSBrff2p3EEevegdonYfcma71b5IUg7wB57bIzSOz1809KkanCN6mKu6fXFQMbdEzXDZb+ygm4k+vchAHh23siPcPXqEPpm71ucm5yEFYt2nx17pVtmKbHWpA6iQ0GR3LPbimO9nzlX6VARsnxXWcnTj/AGDGFpzma5zDEEQYuofVMsltUT2QfJTe4CBOXW+zvS6QGxPZAt4q631SpVjN3AjiD4TCPmbs9yA6nF2ye1DbG0FvmEMWXY4N1BjfbzUm40Hj2KuaBIsZ7DdQDHDf3hBpNxO53wROnPA9vxWRF7tg7wi03wbSeH9lBpMpjU27JCZzy3Qz2g++FVbiu1HbVB2hFE+tg+0wpnimRaPCEgfQKmygw62PagqvwgIgWHgPLVRp4ZzPZMRuJHkrf1Ej2T4XUbjcfBTACpjqn3gDsu0a98cECtWYSA6kDbfaeEq4Kx2iPAqLngiCLcLIKTOS6DgYcacbLhp4RMKhX5rtvle1xJnra9xsQtroGEWcR+IT5hQfydm0Mzuj4qzlYnWMIc3qzbBjTHF3ySW+MNUbYOfbikr3rPRkgSLe/f8A3SfVIIAsTuTpLMjlnhIu33KnnSSXHlGA88qNQDS5hJJZntAevtHYN8IjGSAT2dySS38azwcZSYj1sUsgb70klP8ABIvE3F0xI9DZKSSLEH1IcLa9kRbZ3pnVgDAiTrA7zdJJXESZVtIGm3yPxSNW4AN+E+/uTpKxYTq5+/BjT/KsMrU3C4g6aeCSS6R241oNwQiJ0Tu5O4+5Mkq2EzARodvuUelvB+aSSArMOHaWQquDI2gJkkXBKeHMXh070J7CNlu3xTpImEwn7hHYZRfrbz91nfJ8E6SAT8RVExkE8D81A1ax+83wSSQDNSpIlw8I+HxRMr/2522gfBOkqgYaQZkztkpzVAN58SkkgK3GcSkkkmD/2Q=="/>
        <xdr:cNvSpPr>
          <a:spLocks noChangeAspect="1" noChangeArrowheads="1"/>
        </xdr:cNvSpPr>
      </xdr:nvSpPr>
      <xdr:spPr bwMode="auto">
        <a:xfrm>
          <a:off x="2152650" y="1905000"/>
          <a:ext cx="2952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285750</xdr:colOff>
      <xdr:row>8</xdr:row>
      <xdr:rowOff>28575</xdr:rowOff>
    </xdr:from>
    <xdr:to>
      <xdr:col>10</xdr:col>
      <xdr:colOff>409575</xdr:colOff>
      <xdr:row>30</xdr:row>
      <xdr:rowOff>0</xdr:rowOff>
    </xdr:to>
    <xdr:pic>
      <xdr:nvPicPr>
        <xdr:cNvPr id="1068" name="irc_mi" descr="http://www.vitaplus.com/sites/default/files/styles/gallery_large/public/article_gallery/WebCalfSource10.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552575"/>
          <a:ext cx="5819775"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307975</xdr:colOff>
      <xdr:row>1</xdr:row>
      <xdr:rowOff>57150</xdr:rowOff>
    </xdr:from>
    <xdr:ext cx="5221253" cy="8703665"/>
    <xdr:sp macro="" textlink="">
      <xdr:nvSpPr>
        <xdr:cNvPr id="2" name="TextBox 1"/>
        <xdr:cNvSpPr txBox="1"/>
      </xdr:nvSpPr>
      <xdr:spPr>
        <a:xfrm>
          <a:off x="307975" y="247650"/>
          <a:ext cx="5221253" cy="8703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en-US" sz="1100" b="1">
              <a:solidFill>
                <a:schemeClr val="tx1"/>
              </a:solidFill>
              <a:effectLst/>
              <a:latin typeface="+mn-lt"/>
              <a:ea typeface="+mn-ea"/>
              <a:cs typeface="+mn-cs"/>
            </a:rPr>
            <a:t>Background &amp; Assumptions</a:t>
          </a:r>
          <a:endParaRPr lang="en-US">
            <a:effectLst/>
          </a:endParaRPr>
        </a:p>
        <a:p>
          <a:r>
            <a:rPr lang="en-US" sz="1100">
              <a:solidFill>
                <a:schemeClr val="tx1"/>
              </a:solidFill>
              <a:effectLst/>
              <a:latin typeface="+mn-lt"/>
              <a:ea typeface="+mn-ea"/>
              <a:cs typeface="+mn-cs"/>
            </a:rPr>
            <a:t>     Economic costs are used in the University of Idaho costs and returns estimates. All resources are valued based on market price or opportunity cost. This budget represents the average costs and returns per cow associated with a 10,000-head springer raising facility.  Calves are brought in from baby calf ranches at about 400 pounds and raised to about 1100-1200 lb. They are sent to dairies when they are within 30-60 days of calving, depending on the dairies' preferences.</a:t>
          </a:r>
          <a:endParaRPr lang="en-US">
            <a:effectLst/>
          </a:endParaRPr>
        </a:p>
        <a:p>
          <a:r>
            <a:rPr lang="en-US" sz="1100">
              <a:solidFill>
                <a:schemeClr val="tx1"/>
              </a:solidFill>
              <a:effectLst/>
              <a:latin typeface="+mn-lt"/>
              <a:ea typeface="+mn-ea"/>
              <a:cs typeface="+mn-cs"/>
            </a:rPr>
            <a:t>     </a:t>
          </a:r>
          <a:endParaRPr lang="en-US">
            <a:effectLst/>
          </a:endParaRPr>
        </a:p>
        <a:p>
          <a:r>
            <a:rPr lang="en-US" sz="1100" b="1">
              <a:solidFill>
                <a:schemeClr val="tx1"/>
              </a:solidFill>
              <a:effectLst/>
              <a:latin typeface="+mn-lt"/>
              <a:ea typeface="+mn-ea"/>
              <a:cs typeface="+mn-cs"/>
            </a:rPr>
            <a:t>Facility Overview</a:t>
          </a:r>
          <a:endParaRPr lang="en-US">
            <a:effectLst/>
          </a:endParaRPr>
        </a:p>
        <a:p>
          <a:pPr eaLnBrk="1" fontAlgn="auto" latinLnBrk="0" hangingPunct="1"/>
          <a:r>
            <a:rPr lang="en-US" sz="1100">
              <a:solidFill>
                <a:schemeClr val="tx1"/>
              </a:solidFill>
              <a:effectLst/>
              <a:latin typeface="+mn-lt"/>
              <a:ea typeface="+mn-ea"/>
              <a:cs typeface="+mn-cs"/>
            </a:rPr>
            <a:t>     The site for this facility is about 100 acres, with one-third of the land used for composting manure. Pens have cement back curbs and scrape</a:t>
          </a:r>
          <a:r>
            <a:rPr lang="en-US" sz="1100" baseline="0">
              <a:solidFill>
                <a:schemeClr val="tx1"/>
              </a:solidFill>
              <a:effectLst/>
              <a:latin typeface="+mn-lt"/>
              <a:ea typeface="+mn-ea"/>
              <a:cs typeface="+mn-cs"/>
            </a:rPr>
            <a:t> boxes, which are small pits outside the corral for scraping the manure into each day. A four-stall commodity barn is used for dried distillers' grain (DDG) and dry supplements. Silage is stored in two large pits and on asphalt beds. Most hay is tarped. There are five sets of scales for weighing feed around the facility. </a:t>
          </a:r>
          <a:endParaRPr lang="en-US">
            <a:effectLst/>
          </a:endParaRPr>
        </a:p>
        <a:p>
          <a:pPr eaLnBrk="1" fontAlgn="auto" latinLnBrk="0" hangingPunct="1"/>
          <a:r>
            <a:rPr lang="en-US" sz="1100" baseline="0">
              <a:solidFill>
                <a:schemeClr val="tx1"/>
              </a:solidFill>
              <a:effectLst/>
              <a:latin typeface="+mn-lt"/>
              <a:ea typeface="+mn-ea"/>
              <a:cs typeface="+mn-cs"/>
            </a:rPr>
            <a:t>    The facility has an extensive set of corrals, mainly constructed from well casing posts and rod or cable fencing. There is a liquid manure pond as well as a composting area for solids. The compost is spread on farm ground. Approximately 2,500 tons of straw are used as bedding, or 0.25 per head. The value to the farm ground from this compost is assumed to cover the cost of transporting it to the farm ground.</a:t>
          </a:r>
          <a:endParaRPr lang="en-US">
            <a:effectLst/>
          </a:endParaRPr>
        </a:p>
        <a:p>
          <a:r>
            <a:rPr lang="en-US" sz="1100" b="1">
              <a:solidFill>
                <a:schemeClr val="tx1"/>
              </a:solidFill>
              <a:effectLst/>
              <a:latin typeface="+mn-lt"/>
              <a:ea typeface="+mn-ea"/>
              <a:cs typeface="+mn-cs"/>
            </a:rPr>
            <a:t>Labor</a:t>
          </a:r>
          <a:endParaRPr lang="en-US">
            <a:effectLst/>
          </a:endParaRPr>
        </a:p>
        <a:p>
          <a:r>
            <a:rPr lang="en-US" sz="1100">
              <a:solidFill>
                <a:schemeClr val="tx1"/>
              </a:solidFill>
              <a:effectLst/>
              <a:latin typeface="+mn-lt"/>
              <a:ea typeface="+mn-ea"/>
              <a:cs typeface="+mn-cs"/>
            </a:rPr>
            <a:t>     Twelve full-time</a:t>
          </a:r>
          <a:r>
            <a:rPr lang="en-US" sz="1100" baseline="0">
              <a:solidFill>
                <a:schemeClr val="tx1"/>
              </a:solidFill>
              <a:effectLst/>
              <a:latin typeface="+mn-lt"/>
              <a:ea typeface="+mn-ea"/>
              <a:cs typeface="+mn-cs"/>
            </a:rPr>
            <a:t> employees are used, with three employees feeding and three employees in charge of animal health. Three employees are in charge of all manure handling duties (no custom hauling or land application). The remaining employees include a supervisor and two floaters.</a:t>
          </a:r>
          <a:endParaRPr lang="en-US">
            <a:effectLst/>
          </a:endParaRPr>
        </a:p>
        <a:p>
          <a:r>
            <a:rPr lang="en-US" sz="1100" b="1">
              <a:solidFill>
                <a:schemeClr val="tx1"/>
              </a:solidFill>
              <a:effectLst/>
              <a:latin typeface="+mn-lt"/>
              <a:ea typeface="+mn-ea"/>
              <a:cs typeface="+mn-cs"/>
            </a:rPr>
            <a:t>Feeds</a:t>
          </a:r>
          <a:endParaRPr lang="en-US">
            <a:effectLst/>
          </a:endParaRPr>
        </a:p>
        <a:p>
          <a:r>
            <a:rPr lang="en-US" sz="1100">
              <a:solidFill>
                <a:schemeClr val="tx1"/>
              </a:solidFill>
              <a:effectLst/>
              <a:latin typeface="+mn-lt"/>
              <a:ea typeface="+mn-ea"/>
              <a:cs typeface="+mn-cs"/>
            </a:rPr>
            <a:t>      Heifer</a:t>
          </a:r>
          <a:r>
            <a:rPr lang="en-US" sz="1100" baseline="0">
              <a:solidFill>
                <a:schemeClr val="tx1"/>
              </a:solidFill>
              <a:effectLst/>
              <a:latin typeface="+mn-lt"/>
              <a:ea typeface="+mn-ea"/>
              <a:cs typeface="+mn-cs"/>
            </a:rPr>
            <a:t> diets contain a blend of forages (hay, straw, corn silage, pushout from feed bunkers, ryegrass pellets), grain and by-production feeds (canola, distillers grains, barley, beet pulp) and mineral supplements. Diets are formulated for an average daily gain of 1.9 lb. Heifers are sorted each week by weight in 50-lb increment groups from 400 to 750 lb. Heifers are fed four different rations, depending on their weight. When the heifers reach 750 lb, energy is increased until they are pregnant, at which point it is cut back. This budget has four separate feed budgets, formulated for small heifers (24% of heifers), a pre-breeding group (24% of heifers), a breeding group (19% of heifers), and a pregnant group (34% of heifers). The rations for these different groups are presented in Table 1. Feed prices should be changed on the Feed Prices tab only, in order for these values to be consistent throughout the spreadsheet.</a:t>
          </a:r>
          <a:endParaRPr lang="en-US">
            <a:effectLst/>
          </a:endParaRPr>
        </a:p>
        <a:p>
          <a:r>
            <a:rPr lang="en-US" sz="1100" b="1">
              <a:solidFill>
                <a:schemeClr val="tx1"/>
              </a:solidFill>
              <a:effectLst/>
              <a:latin typeface="+mn-lt"/>
              <a:ea typeface="+mn-ea"/>
              <a:cs typeface="+mn-cs"/>
            </a:rPr>
            <a:t>Herd Health</a:t>
          </a:r>
          <a:endParaRPr lang="en-US">
            <a:effectLst/>
          </a:endParaRPr>
        </a:p>
        <a:p>
          <a:r>
            <a:rPr lang="en-US" sz="1100">
              <a:solidFill>
                <a:schemeClr val="tx1"/>
              </a:solidFill>
              <a:effectLst/>
              <a:latin typeface="+mn-lt"/>
              <a:ea typeface="+mn-ea"/>
              <a:cs typeface="+mn-cs"/>
            </a:rPr>
            <a:t>     Artificial insemination (AI) is used for breeding. A</a:t>
          </a:r>
          <a:r>
            <a:rPr lang="en-US" sz="1100" baseline="0">
              <a:solidFill>
                <a:schemeClr val="tx1"/>
              </a:solidFill>
              <a:effectLst/>
              <a:latin typeface="+mn-lt"/>
              <a:ea typeface="+mn-ea"/>
              <a:cs typeface="+mn-cs"/>
            </a:rPr>
            <a:t> 70% average first conception is assumed for the first service. Heifers are pregnancy checked at 34 days and re-confirmed at 180 days. All non-breeders are culled at 14 months. About 3% are culled for nonbreeding. </a:t>
          </a:r>
          <a:endParaRPr lang="en-US">
            <a:effectLst/>
          </a:endParaRPr>
        </a:p>
        <a:p>
          <a:endParaRPr lang="en-US" sz="1100"/>
        </a:p>
        <a:p>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000" b="1">
              <a:solidFill>
                <a:schemeClr val="tx1"/>
              </a:solidFill>
              <a:effectLst/>
              <a:latin typeface="+mn-lt"/>
              <a:ea typeface="+mn-ea"/>
              <a:cs typeface="+mn-cs"/>
            </a:rPr>
            <a:t>Issued in furtherance of cooperative extension work in agriculture and home economics, Acts of May 8 and June 30, 1914, in cooperation with the U.S. Department of Agriculture, Barbara Petty, Interim Director of Cooperative Extension System, University of Idaho, Moscow, Idaho 83843. The University of Idaho provides equal opportunity in education and employment on the basis of race, color, religion, national origin, gender, age, disability, or status as a Vietnam-era veteran, as required by state and federal laws.</a:t>
          </a:r>
          <a:endParaRPr lang="en-US" sz="1000" b="1">
            <a:effectLst/>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638174</xdr:colOff>
      <xdr:row>25</xdr:row>
      <xdr:rowOff>0</xdr:rowOff>
    </xdr:from>
    <xdr:ext cx="9801225" cy="264560"/>
    <xdr:sp macro="" textlink="">
      <xdr:nvSpPr>
        <xdr:cNvPr id="3" name="TextBox 2"/>
        <xdr:cNvSpPr txBox="1"/>
      </xdr:nvSpPr>
      <xdr:spPr>
        <a:xfrm>
          <a:off x="638174" y="5133975"/>
          <a:ext cx="98012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51</xdr:row>
      <xdr:rowOff>38100</xdr:rowOff>
    </xdr:from>
    <xdr:ext cx="7531650" cy="274009"/>
    <xdr:sp macro="" textlink="">
      <xdr:nvSpPr>
        <xdr:cNvPr id="2" name="TextBox 1"/>
        <xdr:cNvSpPr txBox="1"/>
      </xdr:nvSpPr>
      <xdr:spPr>
        <a:xfrm>
          <a:off x="85725" y="9153525"/>
          <a:ext cx="7591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30000"/>
            <a:t>1</a:t>
          </a:r>
          <a:r>
            <a:rPr lang="en-US" sz="1100"/>
            <a:t>Price for heifers is assumed to be cost plus 5%.</a:t>
          </a:r>
        </a:p>
      </xdr:txBody>
    </xdr:sp>
    <xdr:clientData/>
  </xdr:oneCellAnchor>
  <xdr:oneCellAnchor>
    <xdr:from>
      <xdr:col>0</xdr:col>
      <xdr:colOff>57150</xdr:colOff>
      <xdr:row>82</xdr:row>
      <xdr:rowOff>41273</xdr:rowOff>
    </xdr:from>
    <xdr:ext cx="7550746" cy="1125693"/>
    <xdr:sp macro="" textlink="">
      <xdr:nvSpPr>
        <xdr:cNvPr id="3" name="TextBox 2"/>
        <xdr:cNvSpPr txBox="1"/>
      </xdr:nvSpPr>
      <xdr:spPr>
        <a:xfrm>
          <a:off x="57150" y="17592673"/>
          <a:ext cx="7610475"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ts val="1200"/>
            </a:lnSpc>
            <a:spcBef>
              <a:spcPts val="0"/>
            </a:spcBef>
            <a:spcAft>
              <a:spcPts val="0"/>
            </a:spcAft>
            <a:buClrTx/>
            <a:buSzTx/>
            <a:buFontTx/>
            <a:buNone/>
            <a:tabLst/>
            <a:defRPr/>
          </a:pPr>
          <a:r>
            <a:rPr lang="en-US" sz="1100">
              <a:solidFill>
                <a:schemeClr val="tx1"/>
              </a:solidFill>
              <a:effectLst/>
              <a:latin typeface="+mn-lt"/>
              <a:ea typeface="+mn-ea"/>
              <a:cs typeface="+mn-cs"/>
            </a:rPr>
            <a:t>Issued in furtherance of cooperative extension work in agriculture and home economics, Acts of May 8 and June 30, 1914, in cooperation with the U.S. Department of Agriculture, Charlotte Eberlein, Director of Cooperative Extension System, University of Idaho, Moscow, Idaho 83843. The University of Idaho provides equal opportunity in education and employment on the basis of race, color, religion, national origin, gender, age, disability, or status as a Vietnam-era veteran, as required by state and federal laws.</a:t>
          </a:r>
        </a:p>
        <a:p>
          <a:endParaRPr lang="en-US" sz="1100"/>
        </a:p>
      </xdr:txBody>
    </xdr:sp>
    <xdr:clientData/>
  </xdr:oneCellAnchor>
  <xdr:oneCellAnchor>
    <xdr:from>
      <xdr:col>0</xdr:col>
      <xdr:colOff>400050</xdr:colOff>
      <xdr:row>77</xdr:row>
      <xdr:rowOff>76200</xdr:rowOff>
    </xdr:from>
    <xdr:ext cx="6764223" cy="781240"/>
    <xdr:sp macro="" textlink="">
      <xdr:nvSpPr>
        <xdr:cNvPr id="4" name="TextBox 3"/>
        <xdr:cNvSpPr txBox="1"/>
      </xdr:nvSpPr>
      <xdr:spPr>
        <a:xfrm>
          <a:off x="419100" y="16287750"/>
          <a:ext cx="6734175"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Authors: Kathleen Painter is a farm and ranch economics specialist in the University of Idaho Department of Agricultural Economics and Rural Sociology, Moscow. C. Wilson Gray is an Extension agricultural economist in the UI District III Extension Office.</a:t>
          </a:r>
        </a:p>
        <a:p>
          <a:pPr algn="l"/>
          <a:endParaRPr lang="en-US" sz="1100"/>
        </a:p>
      </xdr:txBody>
    </xdr:sp>
    <xdr:clientData/>
  </xdr:oneCellAnchor>
  <xdr:oneCellAnchor>
    <xdr:from>
      <xdr:col>0</xdr:col>
      <xdr:colOff>50800</xdr:colOff>
      <xdr:row>55</xdr:row>
      <xdr:rowOff>82550</xdr:rowOff>
    </xdr:from>
    <xdr:ext cx="7541613" cy="1460958"/>
    <xdr:sp macro="" textlink="">
      <xdr:nvSpPr>
        <xdr:cNvPr id="5" name="TextBox 4"/>
        <xdr:cNvSpPr txBox="1"/>
      </xdr:nvSpPr>
      <xdr:spPr>
        <a:xfrm>
          <a:off x="60325" y="9813925"/>
          <a:ext cx="75914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first breakeven analysis below presents breakeven market prices ($/head) that will cover operating costs, ownership costs, and total costs for the base total gain in the enterprise budget above, as well as for gains that are 10% above and below the base gain. The second breakeven analysis below presents breakeven gain that will  cover operating costs, ownership costs, and total costs for the base price in the enterprise budget above, and for market prices that are 10% or 20% above and 10% below the base price. In the spreadsheet version (Excel), you can change the numbers in the percentages in the orange cells and all values will be updated. Costs, prices, and yields in this breakeven table are all linked to values  in the budget above, so any changes in the budgets will be automatically updated in these breakeven analyses.</a:t>
          </a: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66675</xdr:colOff>
      <xdr:row>0</xdr:row>
      <xdr:rowOff>266700</xdr:rowOff>
    </xdr:from>
    <xdr:to>
      <xdr:col>19</xdr:col>
      <xdr:colOff>523875</xdr:colOff>
      <xdr:row>6</xdr:row>
      <xdr:rowOff>47625</xdr:rowOff>
    </xdr:to>
    <xdr:pic>
      <xdr:nvPicPr>
        <xdr:cNvPr id="41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9425" y="266700"/>
          <a:ext cx="16383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painter/AppData/Local/Temp/EBBD4_12_2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ummary"/>
      <sheetName val="Table 1 Enterprise Budget "/>
      <sheetName val="Table 2 Capital Costs"/>
      <sheetName val="Amortization Factors"/>
      <sheetName val="Tables 3 &amp; 4"/>
      <sheetName val="Table 5"/>
    </sheetNames>
    <sheetDataSet>
      <sheetData sheetId="0"/>
      <sheetData sheetId="1">
        <row r="3">
          <cell r="D3">
            <v>233.76</v>
          </cell>
        </row>
        <row r="5">
          <cell r="D5">
            <v>17.53</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norell@uidaho.edu" TargetMode="External"/><Relationship Id="rId2" Type="http://schemas.openxmlformats.org/officeDocument/2006/relationships/hyperlink" Target="http://web.cals.uidaho.edu/idahoagbiz/enterprise-budgets/" TargetMode="External"/><Relationship Id="rId1" Type="http://schemas.openxmlformats.org/officeDocument/2006/relationships/hyperlink" Target="mailto:kpainter@uidaho.ed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tinyurl.com/IdahoDairyBudge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1:K52"/>
  <sheetViews>
    <sheetView topLeftCell="A10" zoomScaleNormal="100" workbookViewId="0">
      <selection activeCell="C33" sqref="C33"/>
    </sheetView>
  </sheetViews>
  <sheetFormatPr defaultColWidth="8.85546875" defaultRowHeight="15" x14ac:dyDescent="0.25"/>
  <cols>
    <col min="1" max="1" width="5.7109375" style="123" customWidth="1"/>
    <col min="2" max="16384" width="8.85546875" style="123"/>
  </cols>
  <sheetData>
    <row r="11" spans="5:6" x14ac:dyDescent="0.25">
      <c r="E11"/>
      <c r="F11"/>
    </row>
    <row r="13" spans="5:6" x14ac:dyDescent="0.25">
      <c r="E13"/>
    </row>
    <row r="32" spans="2:2" x14ac:dyDescent="0.25">
      <c r="B32" s="269" t="s">
        <v>146</v>
      </c>
    </row>
    <row r="34" spans="3:9" ht="20.25" x14ac:dyDescent="0.3">
      <c r="F34" s="270" t="s">
        <v>163</v>
      </c>
    </row>
    <row r="35" spans="3:9" ht="20.25" x14ac:dyDescent="0.3">
      <c r="F35" s="270" t="s">
        <v>152</v>
      </c>
    </row>
    <row r="36" spans="3:9" ht="20.25" x14ac:dyDescent="0.3">
      <c r="F36" s="270" t="s">
        <v>147</v>
      </c>
    </row>
    <row r="38" spans="3:9" x14ac:dyDescent="0.25">
      <c r="C38" s="271"/>
      <c r="D38" s="271"/>
      <c r="F38" s="272" t="s">
        <v>148</v>
      </c>
      <c r="G38" s="271"/>
      <c r="H38" s="271"/>
      <c r="I38" s="271"/>
    </row>
    <row r="39" spans="3:9" x14ac:dyDescent="0.25">
      <c r="C39" s="271"/>
      <c r="D39" s="271"/>
      <c r="F39" s="272" t="s">
        <v>149</v>
      </c>
      <c r="G39" s="271"/>
      <c r="H39" s="271"/>
      <c r="I39" s="271"/>
    </row>
    <row r="40" spans="3:9" x14ac:dyDescent="0.25">
      <c r="C40" s="271"/>
      <c r="D40" s="271"/>
      <c r="F40" s="272" t="s">
        <v>165</v>
      </c>
      <c r="G40" s="271"/>
      <c r="H40" s="271"/>
      <c r="I40" s="271"/>
    </row>
    <row r="41" spans="3:9" x14ac:dyDescent="0.25">
      <c r="C41" s="271"/>
      <c r="D41" s="271"/>
      <c r="E41" s="271"/>
      <c r="F41" s="271"/>
      <c r="G41" s="271"/>
      <c r="H41" s="271"/>
      <c r="I41" s="271"/>
    </row>
    <row r="43" spans="3:9" x14ac:dyDescent="0.25">
      <c r="C43" s="304" t="s">
        <v>208</v>
      </c>
      <c r="D43" s="305"/>
      <c r="E43" s="305"/>
      <c r="F43" s="305"/>
      <c r="G43" s="305"/>
      <c r="H43" s="305"/>
      <c r="I43" s="305"/>
    </row>
    <row r="44" spans="3:9" x14ac:dyDescent="0.25">
      <c r="D44" s="128"/>
      <c r="F44" s="331" t="s">
        <v>209</v>
      </c>
    </row>
    <row r="45" spans="3:9" x14ac:dyDescent="0.25">
      <c r="D45" s="128" t="s">
        <v>64</v>
      </c>
    </row>
    <row r="46" spans="3:9" x14ac:dyDescent="0.25">
      <c r="D46" s="128"/>
    </row>
    <row r="47" spans="3:9" ht="17.25" x14ac:dyDescent="0.25">
      <c r="C47" s="123" t="s">
        <v>166</v>
      </c>
    </row>
    <row r="48" spans="3:9" x14ac:dyDescent="0.25">
      <c r="C48" s="123" t="s">
        <v>167</v>
      </c>
    </row>
    <row r="49" spans="3:11" x14ac:dyDescent="0.25">
      <c r="C49" s="128" t="s">
        <v>150</v>
      </c>
      <c r="F49" s="123" t="s">
        <v>154</v>
      </c>
      <c r="H49" s="123" t="s">
        <v>151</v>
      </c>
    </row>
    <row r="50" spans="3:11" x14ac:dyDescent="0.25">
      <c r="C50" s="128" t="s">
        <v>168</v>
      </c>
      <c r="F50" s="123" t="s">
        <v>169</v>
      </c>
      <c r="H50" s="123" t="s">
        <v>170</v>
      </c>
    </row>
    <row r="52" spans="3:11" x14ac:dyDescent="0.25">
      <c r="K52" t="s">
        <v>207</v>
      </c>
    </row>
  </sheetData>
  <mergeCells count="1">
    <mergeCell ref="C43:I43"/>
  </mergeCells>
  <hyperlinks>
    <hyperlink ref="C49" r:id="rId1"/>
    <hyperlink ref="D45" r:id="rId2"/>
    <hyperlink ref="C50" r:id="rId3"/>
    <hyperlink ref="F44" r:id="rId4"/>
  </hyperlinks>
  <pageMargins left="0.7" right="0.7" top="0.75" bottom="0.75" header="0.3" footer="0.3"/>
  <pageSetup scale="86"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23" zoomScale="130" zoomScaleNormal="130" workbookViewId="0">
      <selection activeCell="D51" sqref="D51"/>
    </sheetView>
  </sheetViews>
  <sheetFormatPr defaultColWidth="9.140625" defaultRowHeight="15" x14ac:dyDescent="0.25"/>
  <cols>
    <col min="1" max="16384" width="9.140625" style="123"/>
  </cols>
  <sheetData/>
  <pageMargins left="0.7" right="0.7" top="0.75" bottom="0.75" header="0.3" footer="0.3"/>
  <pageSetup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D18" sqref="A1:D18"/>
    </sheetView>
  </sheetViews>
  <sheetFormatPr defaultRowHeight="15" x14ac:dyDescent="0.25"/>
  <cols>
    <col min="1" max="1" width="33.85546875" bestFit="1" customWidth="1"/>
    <col min="2" max="2" width="7.140625" bestFit="1" customWidth="1"/>
    <col min="3" max="3" width="9.7109375" bestFit="1" customWidth="1"/>
    <col min="257" max="257" width="33.85546875" bestFit="1" customWidth="1"/>
    <col min="258" max="258" width="7.140625" bestFit="1" customWidth="1"/>
    <col min="259" max="259" width="9.7109375" bestFit="1" customWidth="1"/>
    <col min="513" max="513" width="33.85546875" bestFit="1" customWidth="1"/>
    <col min="514" max="514" width="7.140625" bestFit="1" customWidth="1"/>
    <col min="515" max="515" width="9.7109375" bestFit="1" customWidth="1"/>
    <col min="769" max="769" width="33.85546875" bestFit="1" customWidth="1"/>
    <col min="770" max="770" width="7.140625" bestFit="1" customWidth="1"/>
    <col min="771" max="771" width="9.7109375" bestFit="1" customWidth="1"/>
    <col min="1025" max="1025" width="33.85546875" bestFit="1" customWidth="1"/>
    <col min="1026" max="1026" width="7.140625" bestFit="1" customWidth="1"/>
    <col min="1027" max="1027" width="9.7109375" bestFit="1" customWidth="1"/>
    <col min="1281" max="1281" width="33.85546875" bestFit="1" customWidth="1"/>
    <col min="1282" max="1282" width="7.140625" bestFit="1" customWidth="1"/>
    <col min="1283" max="1283" width="9.7109375" bestFit="1" customWidth="1"/>
    <col min="1537" max="1537" width="33.85546875" bestFit="1" customWidth="1"/>
    <col min="1538" max="1538" width="7.140625" bestFit="1" customWidth="1"/>
    <col min="1539" max="1539" width="9.7109375" bestFit="1" customWidth="1"/>
    <col min="1793" max="1793" width="33.85546875" bestFit="1" customWidth="1"/>
    <col min="1794" max="1794" width="7.140625" bestFit="1" customWidth="1"/>
    <col min="1795" max="1795" width="9.7109375" bestFit="1" customWidth="1"/>
    <col min="2049" max="2049" width="33.85546875" bestFit="1" customWidth="1"/>
    <col min="2050" max="2050" width="7.140625" bestFit="1" customWidth="1"/>
    <col min="2051" max="2051" width="9.7109375" bestFit="1" customWidth="1"/>
    <col min="2305" max="2305" width="33.85546875" bestFit="1" customWidth="1"/>
    <col min="2306" max="2306" width="7.140625" bestFit="1" customWidth="1"/>
    <col min="2307" max="2307" width="9.7109375" bestFit="1" customWidth="1"/>
    <col min="2561" max="2561" width="33.85546875" bestFit="1" customWidth="1"/>
    <col min="2562" max="2562" width="7.140625" bestFit="1" customWidth="1"/>
    <col min="2563" max="2563" width="9.7109375" bestFit="1" customWidth="1"/>
    <col min="2817" max="2817" width="33.85546875" bestFit="1" customWidth="1"/>
    <col min="2818" max="2818" width="7.140625" bestFit="1" customWidth="1"/>
    <col min="2819" max="2819" width="9.7109375" bestFit="1" customWidth="1"/>
    <col min="3073" max="3073" width="33.85546875" bestFit="1" customWidth="1"/>
    <col min="3074" max="3074" width="7.140625" bestFit="1" customWidth="1"/>
    <col min="3075" max="3075" width="9.7109375" bestFit="1" customWidth="1"/>
    <col min="3329" max="3329" width="33.85546875" bestFit="1" customWidth="1"/>
    <col min="3330" max="3330" width="7.140625" bestFit="1" customWidth="1"/>
    <col min="3331" max="3331" width="9.7109375" bestFit="1" customWidth="1"/>
    <col min="3585" max="3585" width="33.85546875" bestFit="1" customWidth="1"/>
    <col min="3586" max="3586" width="7.140625" bestFit="1" customWidth="1"/>
    <col min="3587" max="3587" width="9.7109375" bestFit="1" customWidth="1"/>
    <col min="3841" max="3841" width="33.85546875" bestFit="1" customWidth="1"/>
    <col min="3842" max="3842" width="7.140625" bestFit="1" customWidth="1"/>
    <col min="3843" max="3843" width="9.7109375" bestFit="1" customWidth="1"/>
    <col min="4097" max="4097" width="33.85546875" bestFit="1" customWidth="1"/>
    <col min="4098" max="4098" width="7.140625" bestFit="1" customWidth="1"/>
    <col min="4099" max="4099" width="9.7109375" bestFit="1" customWidth="1"/>
    <col min="4353" max="4353" width="33.85546875" bestFit="1" customWidth="1"/>
    <col min="4354" max="4354" width="7.140625" bestFit="1" customWidth="1"/>
    <col min="4355" max="4355" width="9.7109375" bestFit="1" customWidth="1"/>
    <col min="4609" max="4609" width="33.85546875" bestFit="1" customWidth="1"/>
    <col min="4610" max="4610" width="7.140625" bestFit="1" customWidth="1"/>
    <col min="4611" max="4611" width="9.7109375" bestFit="1" customWidth="1"/>
    <col min="4865" max="4865" width="33.85546875" bestFit="1" customWidth="1"/>
    <col min="4866" max="4866" width="7.140625" bestFit="1" customWidth="1"/>
    <col min="4867" max="4867" width="9.7109375" bestFit="1" customWidth="1"/>
    <col min="5121" max="5121" width="33.85546875" bestFit="1" customWidth="1"/>
    <col min="5122" max="5122" width="7.140625" bestFit="1" customWidth="1"/>
    <col min="5123" max="5123" width="9.7109375" bestFit="1" customWidth="1"/>
    <col min="5377" max="5377" width="33.85546875" bestFit="1" customWidth="1"/>
    <col min="5378" max="5378" width="7.140625" bestFit="1" customWidth="1"/>
    <col min="5379" max="5379" width="9.7109375" bestFit="1" customWidth="1"/>
    <col min="5633" max="5633" width="33.85546875" bestFit="1" customWidth="1"/>
    <col min="5634" max="5634" width="7.140625" bestFit="1" customWidth="1"/>
    <col min="5635" max="5635" width="9.7109375" bestFit="1" customWidth="1"/>
    <col min="5889" max="5889" width="33.85546875" bestFit="1" customWidth="1"/>
    <col min="5890" max="5890" width="7.140625" bestFit="1" customWidth="1"/>
    <col min="5891" max="5891" width="9.7109375" bestFit="1" customWidth="1"/>
    <col min="6145" max="6145" width="33.85546875" bestFit="1" customWidth="1"/>
    <col min="6146" max="6146" width="7.140625" bestFit="1" customWidth="1"/>
    <col min="6147" max="6147" width="9.7109375" bestFit="1" customWidth="1"/>
    <col min="6401" max="6401" width="33.85546875" bestFit="1" customWidth="1"/>
    <col min="6402" max="6402" width="7.140625" bestFit="1" customWidth="1"/>
    <col min="6403" max="6403" width="9.7109375" bestFit="1" customWidth="1"/>
    <col min="6657" max="6657" width="33.85546875" bestFit="1" customWidth="1"/>
    <col min="6658" max="6658" width="7.140625" bestFit="1" customWidth="1"/>
    <col min="6659" max="6659" width="9.7109375" bestFit="1" customWidth="1"/>
    <col min="6913" max="6913" width="33.85546875" bestFit="1" customWidth="1"/>
    <col min="6914" max="6914" width="7.140625" bestFit="1" customWidth="1"/>
    <col min="6915" max="6915" width="9.7109375" bestFit="1" customWidth="1"/>
    <col min="7169" max="7169" width="33.85546875" bestFit="1" customWidth="1"/>
    <col min="7170" max="7170" width="7.140625" bestFit="1" customWidth="1"/>
    <col min="7171" max="7171" width="9.7109375" bestFit="1" customWidth="1"/>
    <col min="7425" max="7425" width="33.85546875" bestFit="1" customWidth="1"/>
    <col min="7426" max="7426" width="7.140625" bestFit="1" customWidth="1"/>
    <col min="7427" max="7427" width="9.7109375" bestFit="1" customWidth="1"/>
    <col min="7681" max="7681" width="33.85546875" bestFit="1" customWidth="1"/>
    <col min="7682" max="7682" width="7.140625" bestFit="1" customWidth="1"/>
    <col min="7683" max="7683" width="9.7109375" bestFit="1" customWidth="1"/>
    <col min="7937" max="7937" width="33.85546875" bestFit="1" customWidth="1"/>
    <col min="7938" max="7938" width="7.140625" bestFit="1" customWidth="1"/>
    <col min="7939" max="7939" width="9.7109375" bestFit="1" customWidth="1"/>
    <col min="8193" max="8193" width="33.85546875" bestFit="1" customWidth="1"/>
    <col min="8194" max="8194" width="7.140625" bestFit="1" customWidth="1"/>
    <col min="8195" max="8195" width="9.7109375" bestFit="1" customWidth="1"/>
    <col min="8449" max="8449" width="33.85546875" bestFit="1" customWidth="1"/>
    <col min="8450" max="8450" width="7.140625" bestFit="1" customWidth="1"/>
    <col min="8451" max="8451" width="9.7109375" bestFit="1" customWidth="1"/>
    <col min="8705" max="8705" width="33.85546875" bestFit="1" customWidth="1"/>
    <col min="8706" max="8706" width="7.140625" bestFit="1" customWidth="1"/>
    <col min="8707" max="8707" width="9.7109375" bestFit="1" customWidth="1"/>
    <col min="8961" max="8961" width="33.85546875" bestFit="1" customWidth="1"/>
    <col min="8962" max="8962" width="7.140625" bestFit="1" customWidth="1"/>
    <col min="8963" max="8963" width="9.7109375" bestFit="1" customWidth="1"/>
    <col min="9217" max="9217" width="33.85546875" bestFit="1" customWidth="1"/>
    <col min="9218" max="9218" width="7.140625" bestFit="1" customWidth="1"/>
    <col min="9219" max="9219" width="9.7109375" bestFit="1" customWidth="1"/>
    <col min="9473" max="9473" width="33.85546875" bestFit="1" customWidth="1"/>
    <col min="9474" max="9474" width="7.140625" bestFit="1" customWidth="1"/>
    <col min="9475" max="9475" width="9.7109375" bestFit="1" customWidth="1"/>
    <col min="9729" max="9729" width="33.85546875" bestFit="1" customWidth="1"/>
    <col min="9730" max="9730" width="7.140625" bestFit="1" customWidth="1"/>
    <col min="9731" max="9731" width="9.7109375" bestFit="1" customWidth="1"/>
    <col min="9985" max="9985" width="33.85546875" bestFit="1" customWidth="1"/>
    <col min="9986" max="9986" width="7.140625" bestFit="1" customWidth="1"/>
    <col min="9987" max="9987" width="9.7109375" bestFit="1" customWidth="1"/>
    <col min="10241" max="10241" width="33.85546875" bestFit="1" customWidth="1"/>
    <col min="10242" max="10242" width="7.140625" bestFit="1" customWidth="1"/>
    <col min="10243" max="10243" width="9.7109375" bestFit="1" customWidth="1"/>
    <col min="10497" max="10497" width="33.85546875" bestFit="1" customWidth="1"/>
    <col min="10498" max="10498" width="7.140625" bestFit="1" customWidth="1"/>
    <col min="10499" max="10499" width="9.7109375" bestFit="1" customWidth="1"/>
    <col min="10753" max="10753" width="33.85546875" bestFit="1" customWidth="1"/>
    <col min="10754" max="10754" width="7.140625" bestFit="1" customWidth="1"/>
    <col min="10755" max="10755" width="9.7109375" bestFit="1" customWidth="1"/>
    <col min="11009" max="11009" width="33.85546875" bestFit="1" customWidth="1"/>
    <col min="11010" max="11010" width="7.140625" bestFit="1" customWidth="1"/>
    <col min="11011" max="11011" width="9.7109375" bestFit="1" customWidth="1"/>
    <col min="11265" max="11265" width="33.85546875" bestFit="1" customWidth="1"/>
    <col min="11266" max="11266" width="7.140625" bestFit="1" customWidth="1"/>
    <col min="11267" max="11267" width="9.7109375" bestFit="1" customWidth="1"/>
    <col min="11521" max="11521" width="33.85546875" bestFit="1" customWidth="1"/>
    <col min="11522" max="11522" width="7.140625" bestFit="1" customWidth="1"/>
    <col min="11523" max="11523" width="9.7109375" bestFit="1" customWidth="1"/>
    <col min="11777" max="11777" width="33.85546875" bestFit="1" customWidth="1"/>
    <col min="11778" max="11778" width="7.140625" bestFit="1" customWidth="1"/>
    <col min="11779" max="11779" width="9.7109375" bestFit="1" customWidth="1"/>
    <col min="12033" max="12033" width="33.85546875" bestFit="1" customWidth="1"/>
    <col min="12034" max="12034" width="7.140625" bestFit="1" customWidth="1"/>
    <col min="12035" max="12035" width="9.7109375" bestFit="1" customWidth="1"/>
    <col min="12289" max="12289" width="33.85546875" bestFit="1" customWidth="1"/>
    <col min="12290" max="12290" width="7.140625" bestFit="1" customWidth="1"/>
    <col min="12291" max="12291" width="9.7109375" bestFit="1" customWidth="1"/>
    <col min="12545" max="12545" width="33.85546875" bestFit="1" customWidth="1"/>
    <col min="12546" max="12546" width="7.140625" bestFit="1" customWidth="1"/>
    <col min="12547" max="12547" width="9.7109375" bestFit="1" customWidth="1"/>
    <col min="12801" max="12801" width="33.85546875" bestFit="1" customWidth="1"/>
    <col min="12802" max="12802" width="7.140625" bestFit="1" customWidth="1"/>
    <col min="12803" max="12803" width="9.7109375" bestFit="1" customWidth="1"/>
    <col min="13057" max="13057" width="33.85546875" bestFit="1" customWidth="1"/>
    <col min="13058" max="13058" width="7.140625" bestFit="1" customWidth="1"/>
    <col min="13059" max="13059" width="9.7109375" bestFit="1" customWidth="1"/>
    <col min="13313" max="13313" width="33.85546875" bestFit="1" customWidth="1"/>
    <col min="13314" max="13314" width="7.140625" bestFit="1" customWidth="1"/>
    <col min="13315" max="13315" width="9.7109375" bestFit="1" customWidth="1"/>
    <col min="13569" max="13569" width="33.85546875" bestFit="1" customWidth="1"/>
    <col min="13570" max="13570" width="7.140625" bestFit="1" customWidth="1"/>
    <col min="13571" max="13571" width="9.7109375" bestFit="1" customWidth="1"/>
    <col min="13825" max="13825" width="33.85546875" bestFit="1" customWidth="1"/>
    <col min="13826" max="13826" width="7.140625" bestFit="1" customWidth="1"/>
    <col min="13827" max="13827" width="9.7109375" bestFit="1" customWidth="1"/>
    <col min="14081" max="14081" width="33.85546875" bestFit="1" customWidth="1"/>
    <col min="14082" max="14082" width="7.140625" bestFit="1" customWidth="1"/>
    <col min="14083" max="14083" width="9.7109375" bestFit="1" customWidth="1"/>
    <col min="14337" max="14337" width="33.85546875" bestFit="1" customWidth="1"/>
    <col min="14338" max="14338" width="7.140625" bestFit="1" customWidth="1"/>
    <col min="14339" max="14339" width="9.7109375" bestFit="1" customWidth="1"/>
    <col min="14593" max="14593" width="33.85546875" bestFit="1" customWidth="1"/>
    <col min="14594" max="14594" width="7.140625" bestFit="1" customWidth="1"/>
    <col min="14595" max="14595" width="9.7109375" bestFit="1" customWidth="1"/>
    <col min="14849" max="14849" width="33.85546875" bestFit="1" customWidth="1"/>
    <col min="14850" max="14850" width="7.140625" bestFit="1" customWidth="1"/>
    <col min="14851" max="14851" width="9.7109375" bestFit="1" customWidth="1"/>
    <col min="15105" max="15105" width="33.85546875" bestFit="1" customWidth="1"/>
    <col min="15106" max="15106" width="7.140625" bestFit="1" customWidth="1"/>
    <col min="15107" max="15107" width="9.7109375" bestFit="1" customWidth="1"/>
    <col min="15361" max="15361" width="33.85546875" bestFit="1" customWidth="1"/>
    <col min="15362" max="15362" width="7.140625" bestFit="1" customWidth="1"/>
    <col min="15363" max="15363" width="9.7109375" bestFit="1" customWidth="1"/>
    <col min="15617" max="15617" width="33.85546875" bestFit="1" customWidth="1"/>
    <col min="15618" max="15618" width="7.140625" bestFit="1" customWidth="1"/>
    <col min="15619" max="15619" width="9.7109375" bestFit="1" customWidth="1"/>
    <col min="15873" max="15873" width="33.85546875" bestFit="1" customWidth="1"/>
    <col min="15874" max="15874" width="7.140625" bestFit="1" customWidth="1"/>
    <col min="15875" max="15875" width="9.7109375" bestFit="1" customWidth="1"/>
    <col min="16129" max="16129" width="33.85546875" bestFit="1" customWidth="1"/>
    <col min="16130" max="16130" width="7.140625" bestFit="1" customWidth="1"/>
    <col min="16131" max="16131" width="9.7109375" bestFit="1" customWidth="1"/>
  </cols>
  <sheetData>
    <row r="1" spans="1:4" x14ac:dyDescent="0.25">
      <c r="A1" s="123"/>
      <c r="B1" s="123"/>
      <c r="C1" s="123"/>
      <c r="D1" s="123"/>
    </row>
    <row r="2" spans="1:4" ht="15.75" x14ac:dyDescent="0.25">
      <c r="A2" s="309" t="s">
        <v>203</v>
      </c>
      <c r="B2" s="310"/>
      <c r="C2" s="310"/>
      <c r="D2" s="310"/>
    </row>
    <row r="3" spans="1:4" ht="28.5" customHeight="1" x14ac:dyDescent="0.25">
      <c r="A3" s="328" t="s">
        <v>206</v>
      </c>
      <c r="B3" s="328"/>
      <c r="C3" s="328"/>
      <c r="D3" s="328"/>
    </row>
    <row r="4" spans="1:4" x14ac:dyDescent="0.25">
      <c r="A4" s="311"/>
      <c r="B4" s="312"/>
      <c r="C4" s="313">
        <v>2014</v>
      </c>
      <c r="D4" s="314"/>
    </row>
    <row r="5" spans="1:4" x14ac:dyDescent="0.25">
      <c r="A5" s="315" t="s">
        <v>35</v>
      </c>
      <c r="B5" s="316" t="s">
        <v>37</v>
      </c>
      <c r="C5" s="316" t="s">
        <v>200</v>
      </c>
      <c r="D5" s="317"/>
    </row>
    <row r="6" spans="1:4" x14ac:dyDescent="0.25">
      <c r="A6" s="318"/>
      <c r="B6" s="319"/>
      <c r="C6" s="320"/>
      <c r="D6" s="320"/>
    </row>
    <row r="7" spans="1:4" x14ac:dyDescent="0.25">
      <c r="A7" s="318" t="s">
        <v>201</v>
      </c>
      <c r="B7" s="319"/>
      <c r="C7" s="320"/>
      <c r="D7" s="320"/>
    </row>
    <row r="8" spans="1:4" x14ac:dyDescent="0.25">
      <c r="A8" s="303" t="s">
        <v>172</v>
      </c>
      <c r="B8" s="321" t="s">
        <v>202</v>
      </c>
      <c r="C8" s="299">
        <v>200</v>
      </c>
      <c r="D8" s="322"/>
    </row>
    <row r="9" spans="1:4" x14ac:dyDescent="0.25">
      <c r="A9" s="303" t="s">
        <v>2</v>
      </c>
      <c r="B9" s="321" t="s">
        <v>202</v>
      </c>
      <c r="C9" s="299">
        <v>56</v>
      </c>
      <c r="D9" s="322"/>
    </row>
    <row r="10" spans="1:4" x14ac:dyDescent="0.25">
      <c r="A10" s="303" t="s">
        <v>180</v>
      </c>
      <c r="B10" s="321" t="s">
        <v>202</v>
      </c>
      <c r="C10" s="299">
        <v>45</v>
      </c>
      <c r="D10" s="322"/>
    </row>
    <row r="11" spans="1:4" x14ac:dyDescent="0.25">
      <c r="A11" s="303" t="s">
        <v>173</v>
      </c>
      <c r="B11" s="321" t="s">
        <v>202</v>
      </c>
      <c r="C11" s="299">
        <v>0</v>
      </c>
      <c r="D11" s="322"/>
    </row>
    <row r="12" spans="1:4" x14ac:dyDescent="0.25">
      <c r="A12" s="303" t="s">
        <v>174</v>
      </c>
      <c r="B12" s="321" t="s">
        <v>202</v>
      </c>
      <c r="C12" s="299">
        <v>240</v>
      </c>
      <c r="D12" s="322"/>
    </row>
    <row r="13" spans="1:4" x14ac:dyDescent="0.25">
      <c r="A13" s="303" t="s">
        <v>175</v>
      </c>
      <c r="B13" s="321" t="s">
        <v>202</v>
      </c>
      <c r="C13" s="299">
        <v>190</v>
      </c>
      <c r="D13" s="322"/>
    </row>
    <row r="14" spans="1:4" x14ac:dyDescent="0.25">
      <c r="A14" s="303" t="s">
        <v>176</v>
      </c>
      <c r="B14" s="321" t="s">
        <v>202</v>
      </c>
      <c r="C14" s="299">
        <v>155</v>
      </c>
      <c r="D14" s="322"/>
    </row>
    <row r="15" spans="1:4" x14ac:dyDescent="0.25">
      <c r="A15" s="303" t="s">
        <v>177</v>
      </c>
      <c r="B15" s="321" t="s">
        <v>202</v>
      </c>
      <c r="C15" s="299">
        <v>182</v>
      </c>
      <c r="D15" s="322"/>
    </row>
    <row r="16" spans="1:4" x14ac:dyDescent="0.25">
      <c r="A16" s="327" t="s">
        <v>178</v>
      </c>
      <c r="B16" s="321" t="s">
        <v>202</v>
      </c>
      <c r="C16" s="299">
        <v>170</v>
      </c>
      <c r="D16" s="322"/>
    </row>
    <row r="17" spans="1:4" x14ac:dyDescent="0.25">
      <c r="A17" s="327" t="s">
        <v>179</v>
      </c>
      <c r="B17" s="321" t="s">
        <v>202</v>
      </c>
      <c r="C17" s="299">
        <v>254</v>
      </c>
      <c r="D17" s="322"/>
    </row>
    <row r="18" spans="1:4" x14ac:dyDescent="0.25">
      <c r="A18" s="323"/>
      <c r="B18" s="324"/>
      <c r="C18" s="325"/>
      <c r="D18" s="326"/>
    </row>
  </sheetData>
  <mergeCells count="2">
    <mergeCell ref="A2:D2"/>
    <mergeCell ref="A3:D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6"/>
  <sheetViews>
    <sheetView tabSelected="1" workbookViewId="0">
      <selection activeCell="G10" sqref="G10"/>
    </sheetView>
  </sheetViews>
  <sheetFormatPr defaultColWidth="29.42578125" defaultRowHeight="15" x14ac:dyDescent="0.25"/>
  <cols>
    <col min="1" max="1" width="29.42578125" customWidth="1"/>
    <col min="2" max="2" width="2" customWidth="1"/>
    <col min="3" max="3" width="10.28515625" style="136" customWidth="1"/>
    <col min="4" max="4" width="2" customWidth="1"/>
    <col min="5" max="5" width="10.28515625" style="136" customWidth="1"/>
    <col min="6" max="6" width="2" customWidth="1"/>
    <col min="7" max="7" width="10.28515625" style="136" customWidth="1"/>
    <col min="8" max="8" width="2" customWidth="1"/>
    <col min="9" max="9" width="10.28515625" style="136" customWidth="1"/>
    <col min="10" max="10" width="2" customWidth="1"/>
    <col min="11" max="11" width="11.5703125" style="136" customWidth="1"/>
    <col min="12" max="12" width="2" customWidth="1"/>
    <col min="13" max="13" width="9" style="24" customWidth="1"/>
    <col min="14" max="14" width="1.42578125" customWidth="1"/>
    <col min="15" max="15" width="13.7109375" style="25" customWidth="1"/>
    <col min="16" max="16" width="2.7109375" customWidth="1"/>
    <col min="17" max="17" width="15.140625" customWidth="1"/>
    <col min="18" max="18" width="1.140625" customWidth="1"/>
    <col min="19" max="19" width="12.5703125" customWidth="1"/>
    <col min="20" max="20" width="1.28515625" customWidth="1"/>
    <col min="21" max="21" width="9.7109375" hidden="1" customWidth="1"/>
    <col min="22" max="22" width="2.85546875" hidden="1" customWidth="1"/>
    <col min="23" max="23" width="11.140625" customWidth="1"/>
    <col min="24" max="24" width="1.28515625" customWidth="1"/>
    <col min="25" max="25" width="9.140625" hidden="1" customWidth="1"/>
    <col min="26" max="26" width="19.85546875" bestFit="1" customWidth="1"/>
    <col min="27" max="34" width="8.85546875" customWidth="1"/>
    <col min="35" max="35" width="13.7109375" bestFit="1" customWidth="1"/>
    <col min="36" max="262" width="8.85546875" customWidth="1"/>
  </cols>
  <sheetData>
    <row r="1" spans="1:28" ht="30" x14ac:dyDescent="0.25">
      <c r="A1" s="343"/>
      <c r="B1" s="343"/>
      <c r="C1" s="344" t="s">
        <v>191</v>
      </c>
      <c r="D1" s="345"/>
      <c r="E1" s="344" t="s">
        <v>192</v>
      </c>
      <c r="F1" s="345"/>
      <c r="G1" s="344" t="s">
        <v>188</v>
      </c>
      <c r="H1" s="345"/>
      <c r="I1" s="344" t="s">
        <v>193</v>
      </c>
      <c r="J1" s="345"/>
      <c r="K1" s="345" t="s">
        <v>195</v>
      </c>
      <c r="M1" s="13"/>
      <c r="O1"/>
    </row>
    <row r="2" spans="1:28" ht="15.75" x14ac:dyDescent="0.25">
      <c r="A2" s="346" t="s">
        <v>30</v>
      </c>
      <c r="B2" s="343"/>
      <c r="C2" s="27">
        <v>2385</v>
      </c>
      <c r="D2" s="343"/>
      <c r="E2" s="27">
        <v>2385</v>
      </c>
      <c r="F2" s="343"/>
      <c r="G2" s="27">
        <v>1875</v>
      </c>
      <c r="H2" s="343"/>
      <c r="I2" s="27">
        <f>10000-(C2+E2+G2)</f>
        <v>3355</v>
      </c>
      <c r="J2" s="343"/>
      <c r="K2" s="27">
        <f>SUM(A2:I2)</f>
        <v>10000</v>
      </c>
      <c r="M2" s="13"/>
      <c r="O2"/>
    </row>
    <row r="3" spans="1:28" x14ac:dyDescent="0.25">
      <c r="A3" s="343" t="s">
        <v>196</v>
      </c>
      <c r="B3" s="343"/>
      <c r="C3" s="347">
        <f>C2/total</f>
        <v>0.23849999999999999</v>
      </c>
      <c r="D3" s="343"/>
      <c r="E3" s="347">
        <f>E2/total</f>
        <v>0.23849999999999999</v>
      </c>
      <c r="F3" s="343"/>
      <c r="G3" s="347">
        <f>G2/total</f>
        <v>0.1875</v>
      </c>
      <c r="H3" s="343"/>
      <c r="I3" s="347">
        <f>I2/total</f>
        <v>0.33550000000000002</v>
      </c>
      <c r="J3" s="343"/>
      <c r="K3" s="347">
        <f>SUM(A3:I3)</f>
        <v>1</v>
      </c>
      <c r="M3" s="13"/>
      <c r="O3"/>
    </row>
    <row r="4" spans="1:28" ht="33.75" customHeight="1" thickBot="1" x14ac:dyDescent="0.35">
      <c r="A4" s="306" t="s">
        <v>185</v>
      </c>
      <c r="B4" s="306"/>
      <c r="C4" s="306"/>
      <c r="D4" s="306"/>
      <c r="E4" s="306"/>
      <c r="F4" s="306"/>
      <c r="G4" s="306"/>
      <c r="H4" s="306"/>
      <c r="I4" s="306"/>
      <c r="J4" s="306"/>
      <c r="K4" s="306"/>
      <c r="L4" s="306"/>
      <c r="M4" s="306"/>
      <c r="N4" s="306"/>
      <c r="O4" s="306"/>
      <c r="P4" s="306"/>
      <c r="Q4" s="306"/>
      <c r="R4" s="306"/>
      <c r="S4" s="306"/>
      <c r="T4" s="306"/>
      <c r="U4" s="306"/>
      <c r="V4" s="306"/>
      <c r="W4" s="306"/>
      <c r="X4" s="306"/>
    </row>
    <row r="5" spans="1:28" ht="16.5" thickTop="1" x14ac:dyDescent="0.25">
      <c r="A5" s="28"/>
      <c r="B5" s="28"/>
      <c r="C5" s="30" t="s">
        <v>186</v>
      </c>
      <c r="D5" s="30"/>
      <c r="E5" s="31" t="s">
        <v>187</v>
      </c>
      <c r="F5" s="30"/>
      <c r="G5" s="31"/>
      <c r="H5" s="30"/>
      <c r="I5" s="30" t="s">
        <v>189</v>
      </c>
      <c r="J5" s="30"/>
      <c r="K5" s="356"/>
      <c r="L5" s="75"/>
      <c r="M5" s="357"/>
      <c r="N5" s="358"/>
      <c r="O5" s="357"/>
      <c r="P5" s="358"/>
      <c r="Q5" s="333" t="s">
        <v>197</v>
      </c>
      <c r="R5" s="35"/>
      <c r="S5" s="333" t="s">
        <v>197</v>
      </c>
      <c r="T5" s="35"/>
      <c r="U5" s="30" t="s">
        <v>34</v>
      </c>
      <c r="V5" s="31"/>
      <c r="W5" s="333" t="s">
        <v>199</v>
      </c>
      <c r="X5" s="35"/>
    </row>
    <row r="6" spans="1:28" ht="15.75" x14ac:dyDescent="0.25">
      <c r="A6" s="36" t="s">
        <v>35</v>
      </c>
      <c r="B6" s="28"/>
      <c r="C6" s="30" t="s">
        <v>171</v>
      </c>
      <c r="D6" s="30"/>
      <c r="E6" s="31" t="s">
        <v>188</v>
      </c>
      <c r="F6" s="30"/>
      <c r="G6" s="31" t="s">
        <v>188</v>
      </c>
      <c r="H6" s="30"/>
      <c r="I6" s="30" t="s">
        <v>171</v>
      </c>
      <c r="J6" s="30"/>
      <c r="K6" s="356" t="s">
        <v>194</v>
      </c>
      <c r="L6" s="75"/>
      <c r="M6" s="359" t="s">
        <v>37</v>
      </c>
      <c r="N6" s="293"/>
      <c r="O6" s="359" t="s">
        <v>38</v>
      </c>
      <c r="P6" s="293"/>
      <c r="Q6" s="333" t="s">
        <v>39</v>
      </c>
      <c r="R6" s="38"/>
      <c r="S6" s="333" t="s">
        <v>198</v>
      </c>
      <c r="T6" s="38"/>
      <c r="U6" s="30" t="s">
        <v>41</v>
      </c>
      <c r="V6" s="31"/>
      <c r="W6" s="333" t="s">
        <v>198</v>
      </c>
      <c r="X6" s="38"/>
    </row>
    <row r="7" spans="1:28" ht="18.75" customHeight="1" x14ac:dyDescent="0.25">
      <c r="A7" s="39"/>
      <c r="B7" s="40"/>
      <c r="C7" s="39" t="s">
        <v>181</v>
      </c>
      <c r="D7" s="40"/>
      <c r="E7" s="41" t="s">
        <v>181</v>
      </c>
      <c r="F7" s="40"/>
      <c r="G7" s="41" t="s">
        <v>181</v>
      </c>
      <c r="H7" s="40"/>
      <c r="I7" s="39" t="s">
        <v>181</v>
      </c>
      <c r="J7" s="40"/>
      <c r="K7" s="360" t="s">
        <v>181</v>
      </c>
      <c r="L7" s="360"/>
      <c r="M7" s="361"/>
      <c r="N7" s="360"/>
      <c r="O7" s="361" t="s">
        <v>182</v>
      </c>
      <c r="P7" s="360"/>
      <c r="Q7" s="43"/>
      <c r="R7" s="43"/>
      <c r="S7" s="338"/>
      <c r="T7" s="43"/>
      <c r="U7" s="40"/>
      <c r="V7" s="41"/>
      <c r="W7" s="338"/>
      <c r="X7" s="43"/>
    </row>
    <row r="8" spans="1:28" ht="1.5" hidden="1" customHeight="1" x14ac:dyDescent="0.3">
      <c r="A8" s="337"/>
      <c r="B8" s="337"/>
      <c r="C8" s="337"/>
      <c r="D8" s="337"/>
      <c r="E8" s="337"/>
      <c r="F8" s="337"/>
      <c r="G8" s="337"/>
      <c r="H8" s="337"/>
      <c r="I8" s="337"/>
      <c r="J8" s="337"/>
      <c r="K8" s="337"/>
      <c r="L8" s="337"/>
      <c r="M8" s="337"/>
      <c r="N8" s="337"/>
      <c r="O8" s="337"/>
      <c r="P8" s="337"/>
      <c r="Q8" s="337"/>
      <c r="R8" s="337"/>
      <c r="S8" s="337"/>
      <c r="T8" s="337"/>
      <c r="U8" s="337"/>
      <c r="V8" s="337"/>
      <c r="W8" s="337"/>
      <c r="X8" s="337"/>
      <c r="Y8" s="11"/>
      <c r="Z8" s="11"/>
      <c r="AA8" s="11"/>
      <c r="AB8" s="11"/>
    </row>
    <row r="9" spans="1:28" ht="6.75" customHeight="1" x14ac:dyDescent="0.25">
      <c r="A9" s="44"/>
      <c r="B9" s="44"/>
      <c r="C9" s="44"/>
      <c r="D9" s="44"/>
      <c r="E9" s="44"/>
      <c r="F9" s="44"/>
      <c r="G9" s="44"/>
      <c r="H9" s="44"/>
      <c r="I9" s="44"/>
      <c r="J9" s="44"/>
      <c r="K9" s="44"/>
      <c r="L9" s="44"/>
      <c r="M9" s="336"/>
      <c r="N9" s="44"/>
      <c r="O9" s="44"/>
      <c r="P9" s="44"/>
      <c r="Q9" s="38"/>
      <c r="R9" s="38"/>
      <c r="S9" s="38"/>
      <c r="T9" s="38"/>
      <c r="U9" s="38"/>
      <c r="V9" s="38"/>
      <c r="W9" s="38"/>
      <c r="X9" s="38"/>
    </row>
    <row r="10" spans="1:28" x14ac:dyDescent="0.25">
      <c r="A10" s="48" t="s">
        <v>210</v>
      </c>
      <c r="B10" s="49"/>
      <c r="C10" s="49"/>
      <c r="D10" s="49"/>
      <c r="E10" s="49"/>
      <c r="F10" s="49"/>
      <c r="G10" s="49"/>
      <c r="H10" s="49"/>
      <c r="I10" s="49"/>
      <c r="J10" s="49"/>
      <c r="K10" s="49"/>
      <c r="L10" s="49"/>
      <c r="M10" s="127"/>
      <c r="N10" s="49"/>
      <c r="O10" s="49"/>
      <c r="P10" s="49"/>
      <c r="Q10" s="33"/>
      <c r="R10" s="33"/>
      <c r="S10" s="33"/>
      <c r="T10" s="33"/>
      <c r="U10" s="33"/>
      <c r="V10" s="33"/>
      <c r="W10" s="33"/>
      <c r="X10" s="33"/>
    </row>
    <row r="11" spans="1:28" x14ac:dyDescent="0.25">
      <c r="A11" s="332" t="s">
        <v>190</v>
      </c>
      <c r="B11" s="49"/>
      <c r="C11"/>
      <c r="D11" s="49"/>
      <c r="E11"/>
      <c r="F11" s="49"/>
      <c r="G11"/>
      <c r="H11" s="49"/>
      <c r="I11"/>
      <c r="J11" s="49"/>
      <c r="K11"/>
      <c r="L11" s="49"/>
      <c r="M11" s="13"/>
      <c r="N11" s="49"/>
      <c r="O11"/>
      <c r="P11" s="49"/>
      <c r="Q11" s="348">
        <f>SUM(Q12:Q21)</f>
        <v>8427795.8613750003</v>
      </c>
      <c r="R11" s="33"/>
      <c r="S11" s="349">
        <f>SUM(S12:S21)</f>
        <v>842.77958613750002</v>
      </c>
      <c r="T11" s="33"/>
      <c r="U11" s="33">
        <f>SUM(U12:U21)</f>
        <v>2.3089851674999999</v>
      </c>
      <c r="V11" s="33"/>
      <c r="W11" s="349">
        <f>S11/365</f>
        <v>2.3089851674999999</v>
      </c>
      <c r="X11" s="33"/>
      <c r="Z11" s="19">
        <f>S11/365</f>
        <v>2.3089851674999999</v>
      </c>
    </row>
    <row r="12" spans="1:28" x14ac:dyDescent="0.25">
      <c r="A12" t="s">
        <v>172</v>
      </c>
      <c r="B12" s="49"/>
      <c r="C12" s="67">
        <v>13</v>
      </c>
      <c r="D12" s="49"/>
      <c r="E12" s="67">
        <v>17.149999999999999</v>
      </c>
      <c r="F12" s="49"/>
      <c r="G12" s="67">
        <v>17.25</v>
      </c>
      <c r="H12" s="49"/>
      <c r="I12" s="67">
        <v>15.75</v>
      </c>
      <c r="J12" s="49"/>
      <c r="K12" s="67">
        <f>C12*$C$3+E12*$E$3+G12*$G$3+I12*$I$3</f>
        <v>15.709274999999998</v>
      </c>
      <c r="L12" s="49"/>
      <c r="M12" s="13" t="s">
        <v>43</v>
      </c>
      <c r="N12" s="49"/>
      <c r="O12" s="330">
        <f>feederhay</f>
        <v>200</v>
      </c>
      <c r="P12" s="49"/>
      <c r="Q12" s="350">
        <f>K12*(O12/2000)*365*total</f>
        <v>5733885.375</v>
      </c>
      <c r="R12" s="33"/>
      <c r="S12" s="351">
        <f t="shared" ref="S12" si="0">Q12/Heifers</f>
        <v>573.38853749999998</v>
      </c>
      <c r="T12" s="33"/>
      <c r="U12" s="33">
        <f t="shared" ref="U12:U21" si="1">S12/365</f>
        <v>1.5709275</v>
      </c>
      <c r="V12" s="33"/>
      <c r="W12" s="351">
        <f>S12/365</f>
        <v>1.5709275</v>
      </c>
      <c r="X12" s="33"/>
    </row>
    <row r="13" spans="1:28" x14ac:dyDescent="0.25">
      <c r="A13" t="s">
        <v>2</v>
      </c>
      <c r="B13" s="49"/>
      <c r="C13" s="67">
        <v>0</v>
      </c>
      <c r="D13" s="49"/>
      <c r="E13" s="67">
        <v>0</v>
      </c>
      <c r="F13" s="49"/>
      <c r="G13" s="67">
        <v>1.85</v>
      </c>
      <c r="H13" s="49"/>
      <c r="I13" s="67">
        <v>3.5</v>
      </c>
      <c r="J13" s="49"/>
      <c r="K13" s="67">
        <f t="shared" ref="K13:K21" si="2">C13*$C$3+E13*$E$3+G13*$G$3+I13*$I$3</f>
        <v>1.5211250000000001</v>
      </c>
      <c r="L13" s="49"/>
      <c r="M13" s="13" t="s">
        <v>43</v>
      </c>
      <c r="N13" s="49"/>
      <c r="O13" s="330">
        <f>straw</f>
        <v>55</v>
      </c>
      <c r="P13" s="49"/>
      <c r="Q13" s="350">
        <f>K13*(O13/2000)*365*total</f>
        <v>152682.92187500003</v>
      </c>
      <c r="R13" s="33"/>
      <c r="S13" s="351">
        <f t="shared" ref="S13:S21" si="3">Q13/Heifers</f>
        <v>15.268292187500004</v>
      </c>
      <c r="T13" s="33"/>
      <c r="U13" s="33">
        <f t="shared" si="1"/>
        <v>4.1830937500000012E-2</v>
      </c>
      <c r="V13" s="33"/>
      <c r="W13" s="351">
        <f t="shared" ref="W13:W21" si="4">S13/365</f>
        <v>4.1830937500000012E-2</v>
      </c>
      <c r="X13" s="33"/>
    </row>
    <row r="14" spans="1:28" x14ac:dyDescent="0.25">
      <c r="A14" t="s">
        <v>180</v>
      </c>
      <c r="B14" s="49"/>
      <c r="C14" s="67">
        <v>13</v>
      </c>
      <c r="D14" s="49"/>
      <c r="E14" s="67">
        <v>13.2</v>
      </c>
      <c r="F14" s="49"/>
      <c r="G14" s="67">
        <v>18.5</v>
      </c>
      <c r="H14" s="49"/>
      <c r="I14" s="67">
        <v>15</v>
      </c>
      <c r="J14" s="49"/>
      <c r="K14" s="67">
        <f t="shared" si="2"/>
        <v>14.74995</v>
      </c>
      <c r="L14" s="49"/>
      <c r="M14" s="13" t="s">
        <v>43</v>
      </c>
      <c r="N14" s="49"/>
      <c r="O14" s="330">
        <f>cornsilage</f>
        <v>45</v>
      </c>
      <c r="P14" s="49"/>
      <c r="Q14" s="350">
        <f>K14*(O14/2000)*365*total</f>
        <v>1211339.6437499998</v>
      </c>
      <c r="R14" s="33"/>
      <c r="S14" s="351">
        <f t="shared" si="3"/>
        <v>121.13396437499998</v>
      </c>
      <c r="T14" s="33"/>
      <c r="U14" s="33">
        <f t="shared" si="1"/>
        <v>0.33187387499999993</v>
      </c>
      <c r="V14" s="33"/>
      <c r="W14" s="351">
        <f t="shared" si="4"/>
        <v>0.33187387499999993</v>
      </c>
      <c r="X14" s="33"/>
    </row>
    <row r="15" spans="1:28" x14ac:dyDescent="0.25">
      <c r="A15" t="s">
        <v>173</v>
      </c>
      <c r="B15" s="49"/>
      <c r="C15" s="67">
        <v>0</v>
      </c>
      <c r="D15" s="49"/>
      <c r="E15" s="67">
        <v>0</v>
      </c>
      <c r="F15" s="49"/>
      <c r="G15" s="67">
        <v>0</v>
      </c>
      <c r="H15" s="49"/>
      <c r="I15" s="67">
        <v>2</v>
      </c>
      <c r="J15" s="49"/>
      <c r="K15" s="67">
        <f t="shared" si="2"/>
        <v>0.67100000000000004</v>
      </c>
      <c r="L15" s="49"/>
      <c r="M15" s="13" t="s">
        <v>43</v>
      </c>
      <c r="N15" s="49"/>
      <c r="O15" s="330">
        <f>pushout</f>
        <v>0</v>
      </c>
      <c r="P15" s="49"/>
      <c r="Q15" s="350">
        <f>K15*(O15/2000)*365*total</f>
        <v>0</v>
      </c>
      <c r="R15" s="33"/>
      <c r="S15" s="351">
        <f t="shared" si="3"/>
        <v>0</v>
      </c>
      <c r="T15" s="33"/>
      <c r="U15" s="33">
        <f t="shared" si="1"/>
        <v>0</v>
      </c>
      <c r="V15" s="33"/>
      <c r="W15" s="351">
        <f t="shared" si="4"/>
        <v>0</v>
      </c>
      <c r="X15" s="33"/>
    </row>
    <row r="16" spans="1:28" x14ac:dyDescent="0.25">
      <c r="A16" t="s">
        <v>174</v>
      </c>
      <c r="B16" s="49"/>
      <c r="C16" s="67">
        <v>0.65</v>
      </c>
      <c r="D16" s="49"/>
      <c r="E16" s="67">
        <v>0.2</v>
      </c>
      <c r="F16" s="49"/>
      <c r="G16" s="67">
        <v>0</v>
      </c>
      <c r="H16" s="49"/>
      <c r="I16" s="67">
        <v>0</v>
      </c>
      <c r="J16" s="49"/>
      <c r="K16" s="67">
        <f t="shared" si="2"/>
        <v>0.20272499999999999</v>
      </c>
      <c r="L16" s="49"/>
      <c r="M16" s="13" t="s">
        <v>43</v>
      </c>
      <c r="N16" s="49"/>
      <c r="O16" s="330">
        <f>canola</f>
        <v>240</v>
      </c>
      <c r="P16" s="49"/>
      <c r="Q16" s="350">
        <f>K16*(O16/2000)*365*total</f>
        <v>88793.549999999988</v>
      </c>
      <c r="R16" s="33"/>
      <c r="S16" s="351">
        <f t="shared" si="3"/>
        <v>8.8793549999999986</v>
      </c>
      <c r="T16" s="33"/>
      <c r="U16" s="33">
        <f t="shared" si="1"/>
        <v>2.4326999999999994E-2</v>
      </c>
      <c r="V16" s="33"/>
      <c r="W16" s="351">
        <f t="shared" si="4"/>
        <v>2.4326999999999994E-2</v>
      </c>
      <c r="X16" s="33"/>
    </row>
    <row r="17" spans="1:37" x14ac:dyDescent="0.25">
      <c r="A17" t="s">
        <v>175</v>
      </c>
      <c r="B17" s="49"/>
      <c r="C17" s="67">
        <v>0.75</v>
      </c>
      <c r="D17" s="49"/>
      <c r="E17" s="67">
        <v>0.2</v>
      </c>
      <c r="F17" s="49"/>
      <c r="G17" s="67">
        <v>0</v>
      </c>
      <c r="H17" s="49"/>
      <c r="I17" s="67">
        <v>0</v>
      </c>
      <c r="J17" s="49"/>
      <c r="K17" s="67">
        <f t="shared" si="2"/>
        <v>0.226575</v>
      </c>
      <c r="L17" s="49"/>
      <c r="M17" s="13" t="s">
        <v>43</v>
      </c>
      <c r="N17" s="49"/>
      <c r="O17" s="330">
        <f>distillers</f>
        <v>250</v>
      </c>
      <c r="P17" s="49"/>
      <c r="Q17" s="350">
        <f>K17*(O17/2000)*365*total</f>
        <v>103374.84375</v>
      </c>
      <c r="R17" s="33"/>
      <c r="S17" s="351">
        <f t="shared" si="3"/>
        <v>10.337484375000001</v>
      </c>
      <c r="T17" s="33"/>
      <c r="U17" s="33">
        <f t="shared" si="1"/>
        <v>2.8321875000000003E-2</v>
      </c>
      <c r="V17" s="33"/>
      <c r="W17" s="351">
        <f t="shared" si="4"/>
        <v>2.8321875000000003E-2</v>
      </c>
      <c r="X17" s="33"/>
    </row>
    <row r="18" spans="1:37" x14ac:dyDescent="0.25">
      <c r="A18" t="s">
        <v>176</v>
      </c>
      <c r="B18" s="49"/>
      <c r="C18" s="67">
        <v>2.25</v>
      </c>
      <c r="D18" s="49"/>
      <c r="E18" s="67">
        <v>0.55000000000000004</v>
      </c>
      <c r="F18" s="49"/>
      <c r="G18" s="67">
        <v>0</v>
      </c>
      <c r="H18" s="49"/>
      <c r="I18" s="67">
        <v>0</v>
      </c>
      <c r="J18" s="49"/>
      <c r="K18" s="67">
        <f t="shared" si="2"/>
        <v>0.66780000000000006</v>
      </c>
      <c r="L18" s="49"/>
      <c r="M18" s="13" t="s">
        <v>43</v>
      </c>
      <c r="N18" s="49"/>
      <c r="O18" s="330">
        <f>barley</f>
        <v>155</v>
      </c>
      <c r="P18" s="49"/>
      <c r="Q18" s="350">
        <f>K18*(O18/2000)*365*total</f>
        <v>188903.92500000002</v>
      </c>
      <c r="R18" s="33"/>
      <c r="S18" s="351">
        <f t="shared" si="3"/>
        <v>18.890392500000001</v>
      </c>
      <c r="T18" s="33"/>
      <c r="U18" s="33">
        <f t="shared" si="1"/>
        <v>5.1754500000000002E-2</v>
      </c>
      <c r="V18" s="33"/>
      <c r="W18" s="351">
        <f t="shared" si="4"/>
        <v>5.1754500000000002E-2</v>
      </c>
      <c r="X18" s="33"/>
    </row>
    <row r="19" spans="1:37" x14ac:dyDescent="0.25">
      <c r="A19" t="s">
        <v>177</v>
      </c>
      <c r="B19" s="49"/>
      <c r="C19" s="67">
        <v>0.65</v>
      </c>
      <c r="D19" s="49"/>
      <c r="E19" s="67">
        <v>0.35</v>
      </c>
      <c r="F19" s="49"/>
      <c r="G19" s="67">
        <v>0</v>
      </c>
      <c r="H19" s="49"/>
      <c r="I19" s="67">
        <v>0</v>
      </c>
      <c r="J19" s="49"/>
      <c r="K19" s="67">
        <f t="shared" si="2"/>
        <v>0.23849999999999999</v>
      </c>
      <c r="L19" s="49"/>
      <c r="M19" s="13" t="s">
        <v>43</v>
      </c>
      <c r="N19" s="49"/>
      <c r="O19" s="330">
        <f>beetpulp</f>
        <v>182</v>
      </c>
      <c r="P19" s="49"/>
      <c r="Q19" s="350">
        <f>K19*(O19/2000)*365*total</f>
        <v>79217.774999999994</v>
      </c>
      <c r="R19" s="33"/>
      <c r="S19" s="351">
        <f t="shared" si="3"/>
        <v>7.9217774999999993</v>
      </c>
      <c r="T19" s="33"/>
      <c r="U19" s="33">
        <f t="shared" si="1"/>
        <v>2.1703499999999997E-2</v>
      </c>
      <c r="V19" s="33"/>
      <c r="W19" s="351">
        <f t="shared" si="4"/>
        <v>2.1703499999999997E-2</v>
      </c>
      <c r="X19" s="33"/>
    </row>
    <row r="20" spans="1:37" x14ac:dyDescent="0.25">
      <c r="A20" t="s">
        <v>178</v>
      </c>
      <c r="B20" s="49"/>
      <c r="C20" s="67">
        <v>0</v>
      </c>
      <c r="D20" s="49"/>
      <c r="E20" s="67">
        <v>0</v>
      </c>
      <c r="F20" s="49"/>
      <c r="G20" s="67">
        <v>3</v>
      </c>
      <c r="H20" s="49"/>
      <c r="I20" s="67">
        <v>5</v>
      </c>
      <c r="J20" s="49"/>
      <c r="K20" s="67">
        <f t="shared" si="2"/>
        <v>2.2400000000000002</v>
      </c>
      <c r="L20" s="49"/>
      <c r="M20" s="13" t="s">
        <v>43</v>
      </c>
      <c r="N20" s="49"/>
      <c r="O20" s="330">
        <f>ryegrasspellets</f>
        <v>170</v>
      </c>
      <c r="P20" s="49"/>
      <c r="Q20" s="350">
        <f>K20*(O20/2000)*365*total</f>
        <v>694960.00000000012</v>
      </c>
      <c r="R20" s="33"/>
      <c r="S20" s="351">
        <f t="shared" si="3"/>
        <v>69.496000000000009</v>
      </c>
      <c r="T20" s="33"/>
      <c r="U20" s="33">
        <f t="shared" si="1"/>
        <v>0.19040000000000001</v>
      </c>
      <c r="V20" s="33"/>
      <c r="W20" s="351">
        <f t="shared" si="4"/>
        <v>0.19040000000000001</v>
      </c>
      <c r="X20" s="33"/>
    </row>
    <row r="21" spans="1:37" x14ac:dyDescent="0.25">
      <c r="A21" s="8" t="s">
        <v>179</v>
      </c>
      <c r="B21" s="44"/>
      <c r="C21" s="67">
        <v>0.44</v>
      </c>
      <c r="D21" s="44"/>
      <c r="E21" s="67">
        <v>0.55000000000000004</v>
      </c>
      <c r="F21" s="44"/>
      <c r="G21" s="67">
        <v>0.75</v>
      </c>
      <c r="H21" s="44"/>
      <c r="I21" s="67">
        <v>0</v>
      </c>
      <c r="J21" s="44"/>
      <c r="K21" s="67">
        <f t="shared" si="2"/>
        <v>0.37674000000000002</v>
      </c>
      <c r="L21" s="44"/>
      <c r="M21" s="12" t="s">
        <v>43</v>
      </c>
      <c r="N21" s="44"/>
      <c r="O21" s="334">
        <f>molasses</f>
        <v>254</v>
      </c>
      <c r="P21" s="44"/>
      <c r="Q21" s="352">
        <f>K21*(O21/2000)*365*total</f>
        <v>174637.82699999999</v>
      </c>
      <c r="R21" s="38"/>
      <c r="S21" s="353">
        <f t="shared" si="3"/>
        <v>17.463782699999999</v>
      </c>
      <c r="T21" s="38"/>
      <c r="U21" s="38">
        <f t="shared" si="1"/>
        <v>4.7845979999999996E-2</v>
      </c>
      <c r="V21" s="38"/>
      <c r="W21" s="353">
        <f t="shared" si="4"/>
        <v>4.7845979999999996E-2</v>
      </c>
      <c r="X21" s="38"/>
    </row>
    <row r="22" spans="1:37" ht="7.5" customHeight="1" x14ac:dyDescent="0.25">
      <c r="A22" s="40"/>
      <c r="B22" s="40"/>
      <c r="C22" s="40"/>
      <c r="D22" s="40"/>
      <c r="E22" s="41"/>
      <c r="F22" s="40"/>
      <c r="G22" s="41"/>
      <c r="H22" s="40"/>
      <c r="I22" s="335"/>
      <c r="J22" s="40"/>
      <c r="K22" s="40"/>
      <c r="L22" s="40"/>
      <c r="M22" s="39"/>
      <c r="N22" s="40"/>
      <c r="O22" s="41"/>
      <c r="P22" s="40"/>
      <c r="Q22" s="354"/>
      <c r="R22" s="43"/>
      <c r="S22" s="355"/>
      <c r="T22" s="355"/>
      <c r="U22" s="355"/>
      <c r="V22" s="355"/>
      <c r="W22" s="355"/>
      <c r="X22" s="355"/>
    </row>
    <row r="23" spans="1:37" x14ac:dyDescent="0.25">
      <c r="C23"/>
      <c r="E23"/>
      <c r="G23"/>
      <c r="I23"/>
      <c r="K23"/>
      <c r="M23" s="13"/>
      <c r="O23"/>
      <c r="AI23" s="94"/>
      <c r="AJ23" s="94"/>
      <c r="AK23" s="94"/>
    </row>
    <row r="24" spans="1:37" x14ac:dyDescent="0.25">
      <c r="A24" s="339" t="s">
        <v>204</v>
      </c>
      <c r="O24" s="264"/>
      <c r="Q24" s="26"/>
    </row>
    <row r="25" spans="1:37" x14ac:dyDescent="0.25">
      <c r="A25" s="341" t="s">
        <v>205</v>
      </c>
      <c r="E25" s="24"/>
      <c r="G25"/>
      <c r="I25" s="264"/>
      <c r="K25" s="26"/>
      <c r="M25" s="13"/>
      <c r="O25"/>
    </row>
    <row r="26" spans="1:37" x14ac:dyDescent="0.25">
      <c r="A26" s="342" t="s">
        <v>211</v>
      </c>
      <c r="E26" s="24"/>
      <c r="G26"/>
      <c r="I26" s="264"/>
      <c r="K26" s="26"/>
      <c r="M26"/>
      <c r="O26"/>
    </row>
  </sheetData>
  <mergeCells count="4">
    <mergeCell ref="A4:Q4"/>
    <mergeCell ref="R4:X4"/>
    <mergeCell ref="A8:Q8"/>
    <mergeCell ref="R8:X8"/>
  </mergeCells>
  <pageMargins left="0.7" right="0.7" top="0.75" bottom="0.75" header="0.3" footer="0.3"/>
  <pageSetup scale="74"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9"/>
  <sheetViews>
    <sheetView zoomScale="120" zoomScaleNormal="120" workbookViewId="0">
      <selection activeCell="K10" sqref="K10"/>
    </sheetView>
  </sheetViews>
  <sheetFormatPr defaultColWidth="29.42578125" defaultRowHeight="15" x14ac:dyDescent="0.25"/>
  <cols>
    <col min="1" max="1" width="29.42578125" customWidth="1"/>
    <col min="2" max="2" width="2" customWidth="1"/>
    <col min="3" max="3" width="10.28515625" style="23" customWidth="1"/>
    <col min="4" max="4" width="2" customWidth="1"/>
    <col min="5" max="5" width="11.140625" style="24" customWidth="1"/>
    <col min="6" max="6" width="1.42578125" customWidth="1"/>
    <col min="7" max="7" width="10.5703125" customWidth="1"/>
    <col min="8" max="8" width="1.7109375" customWidth="1"/>
    <col min="9" max="9" width="13.7109375" style="25" customWidth="1"/>
    <col min="10" max="10" width="11.140625" customWidth="1"/>
    <col min="11" max="11" width="15.140625" customWidth="1"/>
    <col min="12" max="12" width="1.140625" customWidth="1"/>
    <col min="13" max="13" width="12.5703125" customWidth="1"/>
    <col min="14" max="14" width="1.28515625" customWidth="1"/>
    <col min="15" max="15" width="9.7109375" hidden="1" customWidth="1"/>
    <col min="16" max="16" width="2.85546875" hidden="1" customWidth="1"/>
    <col min="17" max="17" width="1.85546875" customWidth="1"/>
    <col min="18" max="18" width="9.140625" hidden="1" customWidth="1"/>
    <col min="19" max="19" width="19.85546875" bestFit="1" customWidth="1"/>
    <col min="20" max="27" width="8.85546875" customWidth="1"/>
    <col min="28" max="28" width="13.7109375" bestFit="1" customWidth="1"/>
    <col min="29" max="255" width="8.85546875" customWidth="1"/>
  </cols>
  <sheetData>
    <row r="1" spans="1:21" x14ac:dyDescent="0.25">
      <c r="A1" s="339" t="s">
        <v>204</v>
      </c>
      <c r="I1" s="264"/>
      <c r="K1" s="26"/>
    </row>
    <row r="2" spans="1:21" x14ac:dyDescent="0.25">
      <c r="A2" s="340" t="s">
        <v>205</v>
      </c>
      <c r="C2" s="136"/>
      <c r="I2" s="264"/>
      <c r="K2" s="26"/>
    </row>
    <row r="3" spans="1:21" x14ac:dyDescent="0.25">
      <c r="A3" s="342" t="s">
        <v>211</v>
      </c>
      <c r="C3" s="136"/>
      <c r="I3" s="264"/>
      <c r="K3" s="26"/>
    </row>
    <row r="4" spans="1:21" x14ac:dyDescent="0.25">
      <c r="A4" s="342"/>
      <c r="C4" s="136"/>
      <c r="I4" s="264"/>
      <c r="K4" s="26"/>
    </row>
    <row r="5" spans="1:21" ht="15.75" x14ac:dyDescent="0.25">
      <c r="A5" s="26" t="s">
        <v>30</v>
      </c>
      <c r="C5" s="27">
        <v>10000</v>
      </c>
      <c r="E5" s="26"/>
      <c r="F5" s="26"/>
      <c r="G5" s="265"/>
      <c r="I5" s="264"/>
      <c r="J5" s="263"/>
      <c r="K5" s="263"/>
      <c r="M5" s="25"/>
      <c r="O5" s="25"/>
    </row>
    <row r="6" spans="1:21" ht="33.75" customHeight="1" thickBot="1" x14ac:dyDescent="0.35">
      <c r="A6" s="306" t="s">
        <v>183</v>
      </c>
      <c r="B6" s="306"/>
      <c r="C6" s="306"/>
      <c r="D6" s="306"/>
      <c r="E6" s="306"/>
      <c r="F6" s="306"/>
      <c r="G6" s="306"/>
      <c r="H6" s="306"/>
      <c r="I6" s="306"/>
      <c r="J6" s="306"/>
      <c r="K6" s="306"/>
      <c r="L6" s="306"/>
      <c r="M6" s="306"/>
      <c r="N6" s="306"/>
      <c r="O6" s="306"/>
      <c r="P6" s="306"/>
      <c r="Q6" s="306"/>
    </row>
    <row r="7" spans="1:21" ht="16.5" thickTop="1" x14ac:dyDescent="0.25">
      <c r="A7" s="28"/>
      <c r="B7" s="28"/>
      <c r="C7" s="29" t="s">
        <v>31</v>
      </c>
      <c r="D7" s="30"/>
      <c r="E7" s="31"/>
      <c r="F7" s="30"/>
      <c r="G7" s="31" t="s">
        <v>32</v>
      </c>
      <c r="H7" s="30"/>
      <c r="I7" s="30" t="s">
        <v>33</v>
      </c>
      <c r="J7" s="30"/>
      <c r="K7" s="32" t="s">
        <v>34</v>
      </c>
      <c r="L7" s="33"/>
      <c r="M7" s="34" t="s">
        <v>34</v>
      </c>
      <c r="N7" s="35"/>
      <c r="O7" s="34" t="s">
        <v>34</v>
      </c>
      <c r="P7" s="35"/>
      <c r="Q7" s="33"/>
    </row>
    <row r="8" spans="1:21" ht="18.75" x14ac:dyDescent="0.25">
      <c r="A8" s="36" t="s">
        <v>35</v>
      </c>
      <c r="B8" s="28"/>
      <c r="C8" s="29" t="s">
        <v>36</v>
      </c>
      <c r="D8" s="30"/>
      <c r="E8" s="31" t="s">
        <v>37</v>
      </c>
      <c r="F8" s="30"/>
      <c r="G8" s="31" t="s">
        <v>171</v>
      </c>
      <c r="H8" s="30"/>
      <c r="I8" s="30" t="s">
        <v>153</v>
      </c>
      <c r="J8" s="30"/>
      <c r="K8" s="32" t="s">
        <v>39</v>
      </c>
      <c r="L8" s="33"/>
      <c r="M8" s="37" t="s">
        <v>40</v>
      </c>
      <c r="N8" s="38"/>
      <c r="O8" s="37" t="s">
        <v>41</v>
      </c>
      <c r="P8" s="38"/>
      <c r="Q8" s="33"/>
    </row>
    <row r="9" spans="1:21" ht="19.5" customHeight="1" x14ac:dyDescent="0.25">
      <c r="A9" s="39"/>
      <c r="B9" s="40"/>
      <c r="C9" s="39" t="s">
        <v>181</v>
      </c>
      <c r="D9" s="40"/>
      <c r="E9" s="41"/>
      <c r="F9" s="40"/>
      <c r="G9" s="41"/>
      <c r="H9" s="40"/>
      <c r="I9" s="39" t="s">
        <v>182</v>
      </c>
      <c r="J9" s="40"/>
      <c r="K9" s="42"/>
      <c r="L9" s="43"/>
      <c r="M9" s="42"/>
      <c r="N9" s="43"/>
      <c r="O9" s="42"/>
      <c r="P9" s="43"/>
      <c r="Q9" s="43"/>
    </row>
    <row r="10" spans="1:21" ht="6.75" customHeight="1" x14ac:dyDescent="0.25">
      <c r="A10" s="44"/>
      <c r="B10" s="44"/>
      <c r="C10" s="44"/>
      <c r="D10" s="44"/>
      <c r="E10" s="45"/>
      <c r="F10" s="44"/>
      <c r="G10" s="45"/>
      <c r="H10" s="44"/>
      <c r="I10" s="46"/>
      <c r="J10" s="44"/>
      <c r="K10" s="47"/>
      <c r="L10" s="38"/>
      <c r="M10" s="47"/>
      <c r="N10" s="38"/>
      <c r="O10" s="47"/>
      <c r="P10" s="38"/>
      <c r="Q10" s="38"/>
      <c r="R10" s="11"/>
      <c r="S10" s="11"/>
      <c r="T10" s="11"/>
      <c r="U10" s="11"/>
    </row>
    <row r="11" spans="1:21" x14ac:dyDescent="0.25">
      <c r="A11" s="48" t="s">
        <v>42</v>
      </c>
      <c r="B11" s="49"/>
      <c r="C11" s="49"/>
      <c r="D11" s="49"/>
      <c r="E11" s="50"/>
      <c r="F11" s="49"/>
      <c r="G11" s="50"/>
      <c r="H11" s="49"/>
      <c r="I11" s="51"/>
      <c r="J11" s="49"/>
      <c r="K11" s="52">
        <f>SUM(K12:K12)</f>
        <v>18642960</v>
      </c>
      <c r="L11" s="33"/>
      <c r="M11" s="53">
        <f>K11/Heifers</f>
        <v>1864.296</v>
      </c>
      <c r="N11" s="54"/>
      <c r="O11" s="53">
        <f>M11/365</f>
        <v>5.1076602739726029</v>
      </c>
      <c r="P11" s="54"/>
      <c r="Q11" s="33"/>
    </row>
    <row r="12" spans="1:21" x14ac:dyDescent="0.25">
      <c r="A12" s="57" t="s">
        <v>145</v>
      </c>
      <c r="B12" s="56"/>
      <c r="C12" s="57">
        <f>1*0.959</f>
        <v>0.95899999999999996</v>
      </c>
      <c r="D12" s="56"/>
      <c r="E12" s="58" t="s">
        <v>43</v>
      </c>
      <c r="F12" s="56"/>
      <c r="G12" s="58">
        <v>10000</v>
      </c>
      <c r="H12" s="56"/>
      <c r="I12" s="300">
        <v>1944</v>
      </c>
      <c r="J12" s="49"/>
      <c r="K12" s="59">
        <f>C12*G12*I12</f>
        <v>18642960</v>
      </c>
      <c r="L12" s="33"/>
      <c r="M12" s="60">
        <f>K12/OpenLot_No.</f>
        <v>1864.296</v>
      </c>
      <c r="N12" s="33"/>
      <c r="O12" s="61">
        <f>M12/365</f>
        <v>5.1076602739726029</v>
      </c>
      <c r="P12" s="33"/>
      <c r="Q12" s="33"/>
      <c r="S12" t="s">
        <v>164</v>
      </c>
    </row>
    <row r="13" spans="1:21" ht="6.75" customHeight="1" x14ac:dyDescent="0.25">
      <c r="A13" s="49"/>
      <c r="B13" s="49"/>
      <c r="C13" s="49"/>
      <c r="D13" s="49"/>
      <c r="E13" s="50"/>
      <c r="F13" s="49"/>
      <c r="G13" s="50"/>
      <c r="H13" s="49"/>
      <c r="I13" s="51"/>
      <c r="J13" s="49"/>
      <c r="K13" s="62"/>
      <c r="L13" s="33"/>
      <c r="M13" s="63"/>
      <c r="N13" s="33"/>
      <c r="O13" s="63"/>
      <c r="P13" s="33"/>
      <c r="Q13" s="33"/>
    </row>
    <row r="14" spans="1:21" x14ac:dyDescent="0.25">
      <c r="A14" s="64" t="s">
        <v>44</v>
      </c>
      <c r="B14" s="49"/>
      <c r="C14" s="49"/>
      <c r="D14" s="49"/>
      <c r="E14" s="50"/>
      <c r="F14" s="49"/>
      <c r="G14" s="50"/>
      <c r="H14" s="49"/>
      <c r="I14" s="51"/>
      <c r="J14" s="49"/>
      <c r="K14" s="62"/>
      <c r="L14" s="33"/>
      <c r="M14" s="63"/>
      <c r="N14" s="33"/>
      <c r="O14" s="63"/>
      <c r="P14" s="33"/>
      <c r="Q14" s="33"/>
    </row>
    <row r="15" spans="1:21" x14ac:dyDescent="0.25">
      <c r="A15" s="65" t="s">
        <v>45</v>
      </c>
      <c r="B15" s="49"/>
      <c r="C15" s="49"/>
      <c r="D15" s="49"/>
      <c r="E15" s="50"/>
      <c r="F15" s="49"/>
      <c r="G15" s="50"/>
      <c r="H15" s="49"/>
      <c r="I15" s="51"/>
      <c r="J15" s="49"/>
      <c r="K15" s="52">
        <f>SUM(K16:K25)</f>
        <v>8481642.9637297001</v>
      </c>
      <c r="L15" s="54"/>
      <c r="M15" s="53">
        <f>SUM(M16:M25)</f>
        <v>848.16429637297006</v>
      </c>
      <c r="N15" s="54"/>
      <c r="O15" s="53">
        <f>SUM(O16:O25)</f>
        <v>2.3237377982821092</v>
      </c>
      <c r="P15" s="54"/>
      <c r="Q15" s="54"/>
      <c r="S15" s="19">
        <f>M15/365</f>
        <v>2.3237377982821097</v>
      </c>
    </row>
    <row r="16" spans="1:21" x14ac:dyDescent="0.25">
      <c r="A16" t="s">
        <v>172</v>
      </c>
      <c r="B16" s="49"/>
      <c r="C16" s="67">
        <v>15.709273922963359</v>
      </c>
      <c r="D16" s="68"/>
      <c r="E16" s="69" t="s">
        <v>43</v>
      </c>
      <c r="F16" s="49"/>
      <c r="G16" s="58">
        <f t="shared" ref="G16:G25" si="0">Heifers</f>
        <v>10000</v>
      </c>
      <c r="H16" s="49"/>
      <c r="I16" s="330">
        <f>feederhay</f>
        <v>200</v>
      </c>
      <c r="J16" s="49"/>
      <c r="K16" s="59">
        <f>C16*G16*(I16/2000)*365</f>
        <v>5733884.981881626</v>
      </c>
      <c r="L16" s="33"/>
      <c r="M16" s="71">
        <f t="shared" ref="M16:M17" si="1">K16/Heifers</f>
        <v>573.38849818816254</v>
      </c>
      <c r="N16" s="33"/>
      <c r="O16" s="71">
        <f t="shared" ref="O16:O25" si="2">M16/365</f>
        <v>1.5709273922963358</v>
      </c>
      <c r="P16" s="33"/>
      <c r="Q16" s="33"/>
    </row>
    <row r="17" spans="1:17" x14ac:dyDescent="0.25">
      <c r="A17" t="s">
        <v>2</v>
      </c>
      <c r="B17" s="49"/>
      <c r="C17" s="67">
        <v>1.521198496846061</v>
      </c>
      <c r="D17" s="68"/>
      <c r="E17" s="69" t="s">
        <v>43</v>
      </c>
      <c r="F17" s="49"/>
      <c r="G17" s="58">
        <f t="shared" si="0"/>
        <v>10000</v>
      </c>
      <c r="H17" s="49"/>
      <c r="I17" s="330">
        <f>straw</f>
        <v>55</v>
      </c>
      <c r="J17" s="49"/>
      <c r="K17" s="59">
        <f t="shared" ref="K17:K25" si="3">C17*G17*(I17/2000)*365</f>
        <v>152690.29912092339</v>
      </c>
      <c r="L17" s="33"/>
      <c r="M17" s="71">
        <f t="shared" si="1"/>
        <v>15.269029912092339</v>
      </c>
      <c r="N17" s="33"/>
      <c r="O17" s="71">
        <f t="shared" si="2"/>
        <v>4.1832958663266681E-2</v>
      </c>
      <c r="P17" s="33"/>
      <c r="Q17" s="33"/>
    </row>
    <row r="18" spans="1:17" x14ac:dyDescent="0.25">
      <c r="A18" t="s">
        <v>180</v>
      </c>
      <c r="B18" s="49"/>
      <c r="C18" s="67">
        <v>15.405435512011811</v>
      </c>
      <c r="D18" s="68"/>
      <c r="E18" s="69" t="s">
        <v>43</v>
      </c>
      <c r="F18" s="49"/>
      <c r="G18" s="58">
        <f t="shared" si="0"/>
        <v>10000</v>
      </c>
      <c r="H18" s="49"/>
      <c r="I18" s="330">
        <f>cornsilage</f>
        <v>45</v>
      </c>
      <c r="J18" s="49"/>
      <c r="K18" s="59">
        <f t="shared" si="3"/>
        <v>1265171.3914239702</v>
      </c>
      <c r="L18" s="33"/>
      <c r="M18" s="71">
        <f t="shared" ref="M18" si="4">K18/Heifers</f>
        <v>126.51713914239703</v>
      </c>
      <c r="N18" s="33"/>
      <c r="O18" s="71">
        <f t="shared" si="2"/>
        <v>0.34662229902026581</v>
      </c>
      <c r="P18" s="33"/>
      <c r="Q18" s="33"/>
    </row>
    <row r="19" spans="1:17" x14ac:dyDescent="0.25">
      <c r="A19" t="s">
        <v>173</v>
      </c>
      <c r="B19" s="49"/>
      <c r="C19" s="67">
        <v>0.67105086565561667</v>
      </c>
      <c r="D19" s="68"/>
      <c r="E19" s="69" t="s">
        <v>43</v>
      </c>
      <c r="F19" s="49"/>
      <c r="G19" s="58">
        <f t="shared" si="0"/>
        <v>10000</v>
      </c>
      <c r="H19" s="49"/>
      <c r="I19" s="330">
        <f>pushout</f>
        <v>0</v>
      </c>
      <c r="J19" s="49"/>
      <c r="K19" s="59">
        <f t="shared" si="3"/>
        <v>0</v>
      </c>
      <c r="L19" s="33"/>
      <c r="M19" s="71">
        <f t="shared" ref="M19:M25" si="5">K19/Heifers</f>
        <v>0</v>
      </c>
      <c r="N19" s="33"/>
      <c r="O19" s="71">
        <f t="shared" si="2"/>
        <v>0</v>
      </c>
      <c r="P19" s="33"/>
      <c r="Q19" s="33"/>
    </row>
    <row r="20" spans="1:17" x14ac:dyDescent="0.25">
      <c r="A20" t="s">
        <v>174</v>
      </c>
      <c r="B20" s="49"/>
      <c r="C20" s="67">
        <v>0.20271775600590525</v>
      </c>
      <c r="D20" s="68"/>
      <c r="E20" s="69" t="s">
        <v>43</v>
      </c>
      <c r="F20" s="49"/>
      <c r="G20" s="58">
        <f t="shared" si="0"/>
        <v>10000</v>
      </c>
      <c r="H20" s="49"/>
      <c r="I20" s="330">
        <f>canola</f>
        <v>240</v>
      </c>
      <c r="J20" s="49"/>
      <c r="K20" s="59">
        <f t="shared" si="3"/>
        <v>88790.377130586494</v>
      </c>
      <c r="L20" s="33"/>
      <c r="M20" s="71">
        <f t="shared" si="5"/>
        <v>8.8790377130586489</v>
      </c>
      <c r="N20" s="33"/>
      <c r="O20" s="71">
        <f t="shared" si="2"/>
        <v>2.4326130720708626E-2</v>
      </c>
      <c r="P20" s="33"/>
      <c r="Q20" s="33"/>
    </row>
    <row r="21" spans="1:17" x14ac:dyDescent="0.25">
      <c r="A21" t="s">
        <v>175</v>
      </c>
      <c r="B21" s="49"/>
      <c r="C21" s="67">
        <v>0.22656690377130587</v>
      </c>
      <c r="D21" s="68"/>
      <c r="E21" s="69" t="s">
        <v>43</v>
      </c>
      <c r="F21" s="49"/>
      <c r="G21" s="58">
        <f t="shared" si="0"/>
        <v>10000</v>
      </c>
      <c r="H21" s="49"/>
      <c r="I21" s="330">
        <f>distillers</f>
        <v>250</v>
      </c>
      <c r="J21" s="49"/>
      <c r="K21" s="59">
        <f t="shared" si="3"/>
        <v>103371.14984565829</v>
      </c>
      <c r="L21" s="33"/>
      <c r="M21" s="71">
        <f t="shared" si="5"/>
        <v>10.337114984565829</v>
      </c>
      <c r="N21" s="33"/>
      <c r="O21" s="71">
        <f t="shared" si="2"/>
        <v>2.832086297141323E-2</v>
      </c>
      <c r="P21" s="33"/>
      <c r="Q21" s="33"/>
    </row>
    <row r="22" spans="1:17" x14ac:dyDescent="0.25">
      <c r="A22" t="s">
        <v>176</v>
      </c>
      <c r="B22" s="49"/>
      <c r="C22" s="67">
        <v>0.66777613743121722</v>
      </c>
      <c r="D22" s="68"/>
      <c r="E22" s="69" t="s">
        <v>43</v>
      </c>
      <c r="F22" s="49"/>
      <c r="G22" s="58">
        <f t="shared" si="0"/>
        <v>10000</v>
      </c>
      <c r="H22" s="49"/>
      <c r="I22" s="330">
        <f>barley</f>
        <v>155</v>
      </c>
      <c r="J22" s="49"/>
      <c r="K22" s="59">
        <f t="shared" si="3"/>
        <v>188897.17487585553</v>
      </c>
      <c r="L22" s="33"/>
      <c r="M22" s="71">
        <f t="shared" si="5"/>
        <v>18.889717487585553</v>
      </c>
      <c r="N22" s="33"/>
      <c r="O22" s="71">
        <f t="shared" si="2"/>
        <v>5.1752650650919323E-2</v>
      </c>
      <c r="P22" s="33"/>
      <c r="Q22" s="33"/>
    </row>
    <row r="23" spans="1:17" x14ac:dyDescent="0.25">
      <c r="A23" t="s">
        <v>177</v>
      </c>
      <c r="B23" s="49"/>
      <c r="C23" s="67">
        <v>0.23849147765400616</v>
      </c>
      <c r="D23" s="68"/>
      <c r="E23" s="69" t="s">
        <v>43</v>
      </c>
      <c r="F23" s="49"/>
      <c r="G23" s="58">
        <f t="shared" si="0"/>
        <v>10000</v>
      </c>
      <c r="H23" s="49"/>
      <c r="I23" s="330">
        <f>beetpulp</f>
        <v>182</v>
      </c>
      <c r="J23" s="49"/>
      <c r="K23" s="59">
        <f t="shared" si="3"/>
        <v>79214.944302778153</v>
      </c>
      <c r="L23" s="33"/>
      <c r="M23" s="71">
        <f t="shared" si="5"/>
        <v>7.9214944302778152</v>
      </c>
      <c r="N23" s="33"/>
      <c r="O23" s="71">
        <f t="shared" si="2"/>
        <v>2.1702724466514563E-2</v>
      </c>
      <c r="P23" s="33"/>
      <c r="Q23" s="33"/>
    </row>
    <row r="24" spans="1:17" x14ac:dyDescent="0.25">
      <c r="A24" s="66" t="s">
        <v>178</v>
      </c>
      <c r="B24" s="49"/>
      <c r="C24" s="67">
        <v>2.2401019997315794</v>
      </c>
      <c r="D24" s="68"/>
      <c r="E24" s="69" t="s">
        <v>43</v>
      </c>
      <c r="F24" s="49"/>
      <c r="G24" s="58">
        <f t="shared" si="0"/>
        <v>10000</v>
      </c>
      <c r="H24" s="49"/>
      <c r="I24" s="330">
        <f>ryegrasspellets</f>
        <v>170</v>
      </c>
      <c r="J24" s="49"/>
      <c r="K24" s="59">
        <f t="shared" si="3"/>
        <v>694991.64541672252</v>
      </c>
      <c r="L24" s="33"/>
      <c r="M24" s="71">
        <f t="shared" si="5"/>
        <v>69.499164541672258</v>
      </c>
      <c r="N24" s="33"/>
      <c r="O24" s="71">
        <f t="shared" si="2"/>
        <v>0.19040866997718428</v>
      </c>
      <c r="P24" s="33"/>
      <c r="Q24" s="33"/>
    </row>
    <row r="25" spans="1:17" x14ac:dyDescent="0.25">
      <c r="A25" s="66" t="s">
        <v>179</v>
      </c>
      <c r="B25" s="49"/>
      <c r="C25" s="67">
        <v>0.37672527177560061</v>
      </c>
      <c r="D25" s="68"/>
      <c r="E25" s="69" t="s">
        <v>43</v>
      </c>
      <c r="F25" s="49"/>
      <c r="G25" s="58">
        <f t="shared" si="0"/>
        <v>10000</v>
      </c>
      <c r="H25" s="49"/>
      <c r="I25" s="330">
        <f>molasses</f>
        <v>254</v>
      </c>
      <c r="J25" s="49"/>
      <c r="K25" s="59">
        <f t="shared" si="3"/>
        <v>174630.99973157965</v>
      </c>
      <c r="L25" s="33"/>
      <c r="M25" s="71">
        <f t="shared" si="5"/>
        <v>17.463099973157966</v>
      </c>
      <c r="N25" s="33"/>
      <c r="O25" s="71">
        <f t="shared" si="2"/>
        <v>4.7844109515501276E-2</v>
      </c>
      <c r="P25" s="33"/>
      <c r="Q25" s="33"/>
    </row>
    <row r="26" spans="1:17" ht="7.5" customHeight="1" x14ac:dyDescent="0.25">
      <c r="A26" s="49"/>
      <c r="B26" s="49"/>
      <c r="C26" s="49"/>
      <c r="D26" s="49"/>
      <c r="E26" s="50"/>
      <c r="F26" s="49"/>
      <c r="G26" s="50"/>
      <c r="H26" s="49"/>
      <c r="I26" s="51"/>
      <c r="J26" s="49"/>
      <c r="K26" s="62"/>
      <c r="L26" s="33"/>
      <c r="M26" s="63"/>
      <c r="N26" s="33"/>
      <c r="O26" s="63"/>
      <c r="P26" s="33"/>
      <c r="Q26" s="33"/>
    </row>
    <row r="27" spans="1:17" x14ac:dyDescent="0.25">
      <c r="A27" s="65" t="s">
        <v>46</v>
      </c>
      <c r="B27" s="49"/>
      <c r="C27" s="49"/>
      <c r="D27" s="49"/>
      <c r="E27" s="50"/>
      <c r="F27" s="49"/>
      <c r="G27" s="50"/>
      <c r="H27" s="49"/>
      <c r="I27" s="51"/>
      <c r="J27" s="49"/>
      <c r="K27" s="52">
        <f>SUM(K28:K36)</f>
        <v>6043517.5999999996</v>
      </c>
      <c r="L27" s="33"/>
      <c r="M27" s="52">
        <f>SUM(M28:M36)</f>
        <v>604.35176000000001</v>
      </c>
      <c r="N27" s="33"/>
      <c r="O27" s="53">
        <f>SUM(O28:O36)</f>
        <v>1.6557582465753427</v>
      </c>
      <c r="P27" s="33"/>
      <c r="Q27" s="33"/>
    </row>
    <row r="28" spans="1:17" x14ac:dyDescent="0.25">
      <c r="A28" s="66" t="s">
        <v>47</v>
      </c>
      <c r="B28" s="49"/>
      <c r="C28" s="67">
        <v>1</v>
      </c>
      <c r="D28" s="49"/>
      <c r="E28" s="69" t="s">
        <v>43</v>
      </c>
      <c r="F28" s="49"/>
      <c r="G28" s="58">
        <f t="shared" ref="G28:G36" si="6">Heifers</f>
        <v>10000</v>
      </c>
      <c r="H28" s="49"/>
      <c r="I28" s="329">
        <v>39.75</v>
      </c>
      <c r="J28" s="51"/>
      <c r="K28" s="59">
        <f t="shared" ref="K28:K36" si="7">C28*G28*I28</f>
        <v>397500</v>
      </c>
      <c r="L28" s="33"/>
      <c r="M28" s="71">
        <f t="shared" ref="M28:M36" si="8">K28/Heifers</f>
        <v>39.75</v>
      </c>
      <c r="N28" s="33"/>
      <c r="O28" s="71">
        <f t="shared" ref="O28:O40" si="9">M28/365</f>
        <v>0.10890410958904109</v>
      </c>
      <c r="P28" s="33"/>
      <c r="Q28" s="33"/>
    </row>
    <row r="29" spans="1:17" x14ac:dyDescent="0.25">
      <c r="A29" s="66" t="s">
        <v>119</v>
      </c>
      <c r="B29" s="49"/>
      <c r="C29" s="259">
        <v>0.01</v>
      </c>
      <c r="D29" s="49"/>
      <c r="E29" s="69" t="s">
        <v>43</v>
      </c>
      <c r="F29" s="49"/>
      <c r="G29" s="58">
        <f t="shared" si="6"/>
        <v>10000</v>
      </c>
      <c r="H29" s="49"/>
      <c r="I29" s="329">
        <f>M12</f>
        <v>1864.296</v>
      </c>
      <c r="J29" s="49"/>
      <c r="K29" s="59">
        <f t="shared" si="7"/>
        <v>186429.6</v>
      </c>
      <c r="L29" s="33"/>
      <c r="M29" s="71">
        <f t="shared" si="8"/>
        <v>18.642960000000002</v>
      </c>
      <c r="N29" s="33"/>
      <c r="O29" s="71">
        <f t="shared" si="9"/>
        <v>5.1076602739726036E-2</v>
      </c>
      <c r="P29" s="33"/>
      <c r="Q29" s="33"/>
    </row>
    <row r="30" spans="1:17" x14ac:dyDescent="0.25">
      <c r="A30" s="66" t="s">
        <v>48</v>
      </c>
      <c r="B30" s="49"/>
      <c r="C30" s="67">
        <v>1</v>
      </c>
      <c r="D30" s="49"/>
      <c r="E30" s="69" t="s">
        <v>43</v>
      </c>
      <c r="F30" s="49"/>
      <c r="G30" s="58">
        <f t="shared" si="6"/>
        <v>10000</v>
      </c>
      <c r="H30" s="49"/>
      <c r="I30" s="329">
        <v>77.52</v>
      </c>
      <c r="J30" s="51"/>
      <c r="K30" s="59">
        <f t="shared" si="7"/>
        <v>775200</v>
      </c>
      <c r="L30" s="33"/>
      <c r="M30" s="71">
        <f t="shared" si="8"/>
        <v>77.52</v>
      </c>
      <c r="N30" s="33"/>
      <c r="O30" s="71">
        <f t="shared" si="9"/>
        <v>0.21238356164383559</v>
      </c>
      <c r="P30" s="33"/>
      <c r="Q30" s="33"/>
    </row>
    <row r="31" spans="1:17" x14ac:dyDescent="0.25">
      <c r="A31" t="s">
        <v>2</v>
      </c>
      <c r="B31" s="49"/>
      <c r="C31" s="67">
        <v>0.25</v>
      </c>
      <c r="D31" s="68"/>
      <c r="E31" s="69" t="s">
        <v>43</v>
      </c>
      <c r="F31" s="49"/>
      <c r="G31" s="58">
        <f t="shared" si="6"/>
        <v>10000</v>
      </c>
      <c r="H31" s="49"/>
      <c r="I31" s="329">
        <v>56</v>
      </c>
      <c r="J31" s="49"/>
      <c r="K31" s="59">
        <f t="shared" si="7"/>
        <v>140000</v>
      </c>
      <c r="L31" s="33"/>
      <c r="M31" s="71">
        <f t="shared" si="8"/>
        <v>14</v>
      </c>
      <c r="N31" s="33"/>
      <c r="O31" s="71">
        <f t="shared" si="9"/>
        <v>3.8356164383561646E-2</v>
      </c>
      <c r="P31" s="33"/>
      <c r="Q31" s="33"/>
    </row>
    <row r="32" spans="1:17" x14ac:dyDescent="0.25">
      <c r="A32" s="66" t="s">
        <v>49</v>
      </c>
      <c r="B32" s="49"/>
      <c r="C32" s="67">
        <v>1</v>
      </c>
      <c r="D32" s="49"/>
      <c r="E32" s="69" t="s">
        <v>43</v>
      </c>
      <c r="F32" s="49"/>
      <c r="G32" s="58">
        <f t="shared" si="6"/>
        <v>10000</v>
      </c>
      <c r="H32" s="49"/>
      <c r="I32" s="329">
        <v>209</v>
      </c>
      <c r="J32" s="51"/>
      <c r="K32" s="59">
        <f t="shared" si="7"/>
        <v>2090000</v>
      </c>
      <c r="L32" s="33"/>
      <c r="M32" s="71">
        <f t="shared" si="8"/>
        <v>209</v>
      </c>
      <c r="N32" s="33"/>
      <c r="O32" s="71">
        <f t="shared" si="9"/>
        <v>0.57260273972602738</v>
      </c>
      <c r="P32" s="33"/>
      <c r="Q32" s="33"/>
    </row>
    <row r="33" spans="1:30" x14ac:dyDescent="0.25">
      <c r="A33" s="66" t="s">
        <v>50</v>
      </c>
      <c r="B33" s="49"/>
      <c r="C33" s="67">
        <v>1</v>
      </c>
      <c r="D33" s="49"/>
      <c r="E33" s="69" t="s">
        <v>43</v>
      </c>
      <c r="F33" s="49"/>
      <c r="G33" s="58">
        <f t="shared" si="6"/>
        <v>10000</v>
      </c>
      <c r="H33" s="49"/>
      <c r="I33" s="329">
        <v>74.118799999999993</v>
      </c>
      <c r="J33" s="51"/>
      <c r="K33" s="59">
        <f t="shared" si="7"/>
        <v>741187.99999999988</v>
      </c>
      <c r="L33" s="33"/>
      <c r="M33" s="71">
        <f t="shared" si="8"/>
        <v>74.118799999999993</v>
      </c>
      <c r="N33" s="33"/>
      <c r="O33" s="71">
        <f t="shared" si="9"/>
        <v>0.20306520547945203</v>
      </c>
      <c r="P33" s="33"/>
      <c r="Q33" s="33"/>
    </row>
    <row r="34" spans="1:30" x14ac:dyDescent="0.25">
      <c r="A34" s="66" t="s">
        <v>51</v>
      </c>
      <c r="B34" s="49"/>
      <c r="C34" s="67">
        <v>1</v>
      </c>
      <c r="D34" s="49"/>
      <c r="E34" s="69" t="s">
        <v>43</v>
      </c>
      <c r="F34" s="49"/>
      <c r="G34" s="58">
        <f t="shared" si="6"/>
        <v>10000</v>
      </c>
      <c r="H34" s="49"/>
      <c r="I34" s="329">
        <v>30.18</v>
      </c>
      <c r="J34" s="49"/>
      <c r="K34" s="59">
        <f t="shared" si="7"/>
        <v>301800</v>
      </c>
      <c r="L34" s="33"/>
      <c r="M34" s="71">
        <f t="shared" si="8"/>
        <v>30.18</v>
      </c>
      <c r="N34" s="33"/>
      <c r="O34" s="71">
        <f t="shared" si="9"/>
        <v>8.2684931506849316E-2</v>
      </c>
      <c r="P34" s="33"/>
      <c r="Q34" s="33"/>
    </row>
    <row r="35" spans="1:30" x14ac:dyDescent="0.25">
      <c r="A35" s="66" t="s">
        <v>52</v>
      </c>
      <c r="B35" s="49"/>
      <c r="C35" s="67">
        <v>1</v>
      </c>
      <c r="D35" s="49"/>
      <c r="E35" s="69" t="s">
        <v>43</v>
      </c>
      <c r="F35" s="49"/>
      <c r="G35" s="58">
        <f t="shared" si="6"/>
        <v>10000</v>
      </c>
      <c r="H35" s="49"/>
      <c r="I35" s="329">
        <v>62.95</v>
      </c>
      <c r="J35" s="49"/>
      <c r="K35" s="59">
        <f t="shared" si="7"/>
        <v>629500</v>
      </c>
      <c r="L35" s="33"/>
      <c r="M35" s="71">
        <f t="shared" si="8"/>
        <v>62.95</v>
      </c>
      <c r="N35" s="33"/>
      <c r="O35" s="71">
        <f t="shared" si="9"/>
        <v>0.17246575342465753</v>
      </c>
      <c r="P35" s="33"/>
      <c r="Q35" s="33"/>
    </row>
    <row r="36" spans="1:30" x14ac:dyDescent="0.25">
      <c r="A36" s="73" t="s">
        <v>53</v>
      </c>
      <c r="B36" s="49"/>
      <c r="C36" s="67">
        <v>1</v>
      </c>
      <c r="D36" s="49"/>
      <c r="E36" s="69" t="s">
        <v>43</v>
      </c>
      <c r="F36" s="49"/>
      <c r="G36" s="58">
        <f t="shared" si="6"/>
        <v>10000</v>
      </c>
      <c r="H36" s="49"/>
      <c r="I36" s="329">
        <v>78.19</v>
      </c>
      <c r="J36" s="51"/>
      <c r="K36" s="59">
        <f t="shared" si="7"/>
        <v>781900</v>
      </c>
      <c r="L36" s="33"/>
      <c r="M36" s="71">
        <f t="shared" si="8"/>
        <v>78.19</v>
      </c>
      <c r="N36" s="33"/>
      <c r="O36" s="71">
        <f t="shared" si="9"/>
        <v>0.21421917808219176</v>
      </c>
      <c r="P36" s="33"/>
      <c r="Q36" s="33"/>
    </row>
    <row r="37" spans="1:30" x14ac:dyDescent="0.25">
      <c r="A37" s="74"/>
      <c r="B37" s="75"/>
      <c r="C37" s="76"/>
      <c r="D37" s="75"/>
      <c r="E37" s="77"/>
      <c r="F37" s="75"/>
      <c r="G37" s="77"/>
      <c r="H37" s="75"/>
      <c r="I37" s="78"/>
      <c r="J37" s="49"/>
      <c r="K37" s="79"/>
      <c r="L37" s="80"/>
      <c r="M37" s="81"/>
      <c r="N37" s="80"/>
      <c r="O37" s="81"/>
      <c r="P37" s="80"/>
      <c r="Q37" s="80"/>
    </row>
    <row r="38" spans="1:30" x14ac:dyDescent="0.25">
      <c r="A38" s="82" t="s">
        <v>54</v>
      </c>
      <c r="B38" s="49"/>
      <c r="C38" s="49"/>
      <c r="D38" s="49"/>
      <c r="E38" s="50"/>
      <c r="F38" s="49"/>
      <c r="G38" s="50"/>
      <c r="H38" s="49"/>
      <c r="I38" s="49"/>
      <c r="J38" s="49"/>
      <c r="K38" s="83">
        <f>SUM(K15:K37)-(K15+K27)</f>
        <v>14525160.5637297</v>
      </c>
      <c r="L38" s="84"/>
      <c r="M38" s="85">
        <f>SUM(M15:M37)-(M15+M27)</f>
        <v>1452.5160563729701</v>
      </c>
      <c r="N38" s="86"/>
      <c r="O38" s="87">
        <f t="shared" si="9"/>
        <v>3.9794960448574521</v>
      </c>
      <c r="P38" s="86"/>
      <c r="Q38" s="84"/>
    </row>
    <row r="39" spans="1:30" x14ac:dyDescent="0.25">
      <c r="A39" s="49"/>
      <c r="B39" s="49"/>
      <c r="C39" s="49"/>
      <c r="D39" s="49"/>
      <c r="E39" s="50"/>
      <c r="F39" s="49"/>
      <c r="G39" s="50"/>
      <c r="H39" s="49"/>
      <c r="I39" s="49"/>
      <c r="J39" s="49"/>
      <c r="K39" s="79"/>
      <c r="L39" s="80"/>
      <c r="M39" s="81"/>
      <c r="N39" s="80"/>
      <c r="O39" s="81"/>
      <c r="P39" s="80"/>
      <c r="Q39" s="80"/>
      <c r="AB39" s="94"/>
      <c r="AC39" s="94"/>
      <c r="AD39" s="94"/>
    </row>
    <row r="40" spans="1:30" s="94" customFormat="1" x14ac:dyDescent="0.25">
      <c r="A40" s="88" t="s">
        <v>55</v>
      </c>
      <c r="B40" s="89"/>
      <c r="C40" s="89"/>
      <c r="D40" s="89"/>
      <c r="E40" s="90"/>
      <c r="F40" s="89"/>
      <c r="G40" s="90"/>
      <c r="H40" s="89"/>
      <c r="I40" s="89"/>
      <c r="J40" s="89"/>
      <c r="K40" s="91">
        <f>K11-K38</f>
        <v>4117799.4362703003</v>
      </c>
      <c r="L40" s="92"/>
      <c r="M40" s="93">
        <f>K40/Heifers</f>
        <v>411.77994362703004</v>
      </c>
      <c r="N40" s="92"/>
      <c r="O40" s="93">
        <f t="shared" si="9"/>
        <v>1.1281642291151508</v>
      </c>
      <c r="P40" s="92"/>
      <c r="Q40" s="92"/>
      <c r="R40" s="266"/>
      <c r="AB40"/>
      <c r="AC40"/>
      <c r="AD40"/>
    </row>
    <row r="41" spans="1:30" ht="6.75" customHeight="1" x14ac:dyDescent="0.25">
      <c r="A41" s="49"/>
      <c r="B41" s="49"/>
      <c r="C41" s="49"/>
      <c r="D41" s="49"/>
      <c r="E41" s="50"/>
      <c r="F41" s="49"/>
      <c r="G41" s="50"/>
      <c r="H41" s="49"/>
      <c r="I41" s="51"/>
      <c r="J41" s="49"/>
      <c r="K41" s="62"/>
      <c r="L41" s="33"/>
      <c r="M41" s="63"/>
      <c r="N41" s="33"/>
      <c r="O41" s="63"/>
      <c r="P41" s="33"/>
      <c r="Q41" s="33"/>
    </row>
    <row r="42" spans="1:30" x14ac:dyDescent="0.25">
      <c r="A42" s="64" t="s">
        <v>56</v>
      </c>
      <c r="B42" s="49"/>
      <c r="C42" s="49"/>
      <c r="D42" s="49"/>
      <c r="E42" s="50"/>
      <c r="F42" s="49"/>
      <c r="G42" s="50"/>
      <c r="H42" s="49"/>
      <c r="I42" s="51"/>
      <c r="J42" s="49"/>
      <c r="K42" s="95">
        <f>SUM(K44:K46)</f>
        <v>704937.66018898063</v>
      </c>
      <c r="L42" s="80"/>
      <c r="M42" s="87">
        <f>SUM(M44:M46)</f>
        <v>70.493766018898057</v>
      </c>
      <c r="N42" s="86"/>
      <c r="O42" s="87">
        <f>M42/365</f>
        <v>0.19313360553122755</v>
      </c>
      <c r="P42" s="86"/>
      <c r="Q42" s="80"/>
    </row>
    <row r="43" spans="1:30" ht="6.75" customHeight="1" x14ac:dyDescent="0.25">
      <c r="A43" s="49"/>
      <c r="B43" s="49"/>
      <c r="C43" s="49"/>
      <c r="D43" s="49"/>
      <c r="E43" s="50"/>
      <c r="F43" s="49"/>
      <c r="G43" s="50"/>
      <c r="H43" s="49"/>
      <c r="I43" s="51"/>
      <c r="J43" s="49"/>
      <c r="K43" s="96"/>
      <c r="L43" s="80"/>
      <c r="M43" s="87"/>
      <c r="N43" s="84"/>
      <c r="O43" s="87"/>
      <c r="P43" s="84"/>
      <c r="Q43" s="80"/>
    </row>
    <row r="44" spans="1:30" x14ac:dyDescent="0.25">
      <c r="A44" s="66" t="s">
        <v>57</v>
      </c>
      <c r="B44" s="49"/>
      <c r="C44" s="67">
        <v>1</v>
      </c>
      <c r="D44" s="49"/>
      <c r="E44" s="69" t="s">
        <v>43</v>
      </c>
      <c r="F44" s="49"/>
      <c r="G44" s="58">
        <f>Heifers</f>
        <v>10000</v>
      </c>
      <c r="H44" s="49"/>
      <c r="I44" s="70">
        <f>'Table 3 Capital Costs'!P58</f>
        <v>34.077364609573806</v>
      </c>
      <c r="J44" s="49"/>
      <c r="K44" s="96">
        <f>C44*G44*$I$44</f>
        <v>340773.64609573805</v>
      </c>
      <c r="L44" s="80"/>
      <c r="M44" s="97">
        <f>K44/Heifers</f>
        <v>34.077364609573806</v>
      </c>
      <c r="N44" s="80"/>
      <c r="O44" s="97">
        <f>M44/365</f>
        <v>9.3362642765955628E-2</v>
      </c>
      <c r="P44" s="80"/>
      <c r="Q44" s="80"/>
    </row>
    <row r="45" spans="1:30" x14ac:dyDescent="0.25">
      <c r="A45" s="66" t="s">
        <v>58</v>
      </c>
      <c r="B45" s="49"/>
      <c r="C45" s="67">
        <v>1</v>
      </c>
      <c r="D45" s="49"/>
      <c r="E45" s="69" t="s">
        <v>59</v>
      </c>
      <c r="F45" s="49"/>
      <c r="G45" s="58">
        <v>1</v>
      </c>
      <c r="H45" s="49"/>
      <c r="I45" s="70">
        <f>'Table 3 Capital Costs'!I47</f>
        <v>1035</v>
      </c>
      <c r="J45" s="49"/>
      <c r="K45" s="96">
        <f>C45*G45*I45</f>
        <v>1035</v>
      </c>
      <c r="L45" s="80"/>
      <c r="M45" s="97">
        <f>K45/Heifers</f>
        <v>0.10349999999999999</v>
      </c>
      <c r="N45" s="80"/>
      <c r="O45" s="97">
        <f>M45/365</f>
        <v>2.8356164383561643E-4</v>
      </c>
      <c r="P45" s="80"/>
      <c r="Q45" s="80"/>
    </row>
    <row r="46" spans="1:30" x14ac:dyDescent="0.25">
      <c r="A46" s="66" t="s">
        <v>60</v>
      </c>
      <c r="B46" s="49"/>
      <c r="C46" s="67">
        <v>1</v>
      </c>
      <c r="D46" s="49"/>
      <c r="E46" s="69" t="s">
        <v>59</v>
      </c>
      <c r="F46" s="49"/>
      <c r="G46" s="58">
        <v>1</v>
      </c>
      <c r="H46" s="49"/>
      <c r="I46" s="70">
        <f>0.025*K38</f>
        <v>363129.01409324253</v>
      </c>
      <c r="J46" s="49"/>
      <c r="K46" s="96">
        <f>C46*$I$46</f>
        <v>363129.01409324253</v>
      </c>
      <c r="L46" s="80"/>
      <c r="M46" s="97">
        <f>C46*I46/Heifers</f>
        <v>36.312901409324255</v>
      </c>
      <c r="N46" s="80"/>
      <c r="O46" s="97">
        <f>M46/365</f>
        <v>9.9487401121436309E-2</v>
      </c>
      <c r="P46" s="80"/>
      <c r="Q46" s="80"/>
    </row>
    <row r="47" spans="1:30" x14ac:dyDescent="0.25">
      <c r="A47" s="49" t="s">
        <v>61</v>
      </c>
      <c r="B47" s="49"/>
      <c r="C47" s="49"/>
      <c r="D47" s="49"/>
      <c r="E47" s="50"/>
      <c r="F47" s="49"/>
      <c r="G47" s="50"/>
      <c r="H47" s="49"/>
      <c r="I47" s="51"/>
      <c r="J47" s="49"/>
      <c r="K47" s="79"/>
      <c r="L47" s="80"/>
      <c r="M47" s="81"/>
      <c r="N47" s="80"/>
      <c r="O47" s="81"/>
      <c r="P47" s="80"/>
      <c r="Q47" s="80"/>
    </row>
    <row r="48" spans="1:30" x14ac:dyDescent="0.25">
      <c r="A48" s="49"/>
      <c r="B48" s="49"/>
      <c r="C48" s="49"/>
      <c r="D48" s="49"/>
      <c r="E48" s="50"/>
      <c r="F48" s="49"/>
      <c r="G48" s="50"/>
      <c r="H48" s="49"/>
      <c r="I48" s="51"/>
      <c r="J48" s="49"/>
      <c r="K48" s="79"/>
      <c r="L48" s="80"/>
      <c r="M48" s="81"/>
      <c r="N48" s="80"/>
      <c r="O48" s="81"/>
      <c r="P48" s="80"/>
      <c r="Q48" s="80"/>
    </row>
    <row r="49" spans="1:30" x14ac:dyDescent="0.25">
      <c r="A49" s="82" t="s">
        <v>62</v>
      </c>
      <c r="B49" s="49"/>
      <c r="C49" s="49"/>
      <c r="D49" s="49"/>
      <c r="E49" s="50"/>
      <c r="F49" s="49"/>
      <c r="G49" s="50"/>
      <c r="H49" s="49"/>
      <c r="I49" s="49"/>
      <c r="J49" s="49"/>
      <c r="K49" s="83">
        <f>K42+K38</f>
        <v>15230098.22391868</v>
      </c>
      <c r="L49" s="84"/>
      <c r="M49" s="85">
        <f>M42+M38</f>
        <v>1523.0098223918681</v>
      </c>
      <c r="N49" s="84"/>
      <c r="O49" s="87">
        <f>M49/365</f>
        <v>4.1726296503886795</v>
      </c>
      <c r="P49" s="84"/>
      <c r="Q49" s="84"/>
      <c r="R49" s="19">
        <v>1411.5860690629734</v>
      </c>
    </row>
    <row r="50" spans="1:30" x14ac:dyDescent="0.25">
      <c r="A50" s="49"/>
      <c r="B50" s="49"/>
      <c r="C50" s="49"/>
      <c r="D50" s="49"/>
      <c r="E50" s="50"/>
      <c r="F50" s="49"/>
      <c r="G50" s="50"/>
      <c r="H50" s="49"/>
      <c r="I50" s="49"/>
      <c r="J50" s="49"/>
      <c r="K50" s="79"/>
      <c r="L50" s="80"/>
      <c r="M50" s="81"/>
      <c r="N50" s="80"/>
      <c r="O50" s="81"/>
      <c r="P50" s="80"/>
      <c r="Q50" s="80"/>
      <c r="AB50" s="94"/>
      <c r="AC50" s="94"/>
      <c r="AD50" s="94"/>
    </row>
    <row r="51" spans="1:30" s="94" customFormat="1" x14ac:dyDescent="0.25">
      <c r="A51" s="98" t="s">
        <v>63</v>
      </c>
      <c r="B51" s="99"/>
      <c r="C51" s="99"/>
      <c r="D51" s="99"/>
      <c r="E51" s="100"/>
      <c r="F51" s="99"/>
      <c r="G51" s="100"/>
      <c r="H51" s="99"/>
      <c r="I51" s="99"/>
      <c r="J51" s="99"/>
      <c r="K51" s="101">
        <f>K11-K49</f>
        <v>3412861.7760813199</v>
      </c>
      <c r="L51" s="102"/>
      <c r="M51" s="103">
        <f>M11-M49</f>
        <v>341.28617760813199</v>
      </c>
      <c r="N51" s="102"/>
      <c r="O51" s="103">
        <f>O11-O49</f>
        <v>0.93503062358392341</v>
      </c>
      <c r="P51" s="102"/>
      <c r="Q51" s="102"/>
    </row>
    <row r="52" spans="1:30" s="94" customFormat="1" x14ac:dyDescent="0.25">
      <c r="A52" s="104"/>
      <c r="B52" s="105"/>
      <c r="C52" s="105"/>
      <c r="D52" s="105"/>
      <c r="E52" s="106"/>
      <c r="F52" s="105"/>
      <c r="G52" s="106"/>
      <c r="H52" s="105"/>
      <c r="I52" s="105"/>
      <c r="J52" s="105"/>
      <c r="K52" s="107"/>
      <c r="L52" s="108"/>
      <c r="M52" s="109"/>
      <c r="N52" s="108"/>
      <c r="O52" s="109"/>
      <c r="P52" s="108"/>
      <c r="Q52" s="108"/>
    </row>
    <row r="53" spans="1:30" s="94" customFormat="1" ht="18" x14ac:dyDescent="0.25">
      <c r="A53" s="110"/>
      <c r="B53" s="111"/>
      <c r="C53" s="111"/>
      <c r="D53" s="111"/>
      <c r="E53" s="112"/>
      <c r="F53" s="111"/>
      <c r="G53" s="112"/>
      <c r="H53" s="111"/>
      <c r="I53" s="111"/>
      <c r="J53" s="111"/>
      <c r="K53" s="113"/>
      <c r="L53" s="114"/>
      <c r="M53" s="115"/>
      <c r="N53" s="114"/>
      <c r="O53" s="115"/>
      <c r="P53" s="114"/>
      <c r="Q53" s="114"/>
      <c r="AB53" s="119"/>
      <c r="AC53" s="119"/>
      <c r="AD53" s="119"/>
    </row>
    <row r="54" spans="1:30" s="94" customFormat="1" x14ac:dyDescent="0.25">
      <c r="A54" s="104"/>
      <c r="B54" s="105"/>
      <c r="C54" s="105"/>
      <c r="D54" s="105"/>
      <c r="E54" s="106"/>
      <c r="F54" s="105"/>
      <c r="G54" s="106"/>
      <c r="H54" s="105"/>
      <c r="I54" s="105"/>
      <c r="J54" s="105"/>
      <c r="K54" s="107"/>
      <c r="L54" s="108"/>
      <c r="M54" s="109"/>
      <c r="N54" s="108"/>
      <c r="O54" s="109"/>
      <c r="P54" s="108"/>
      <c r="Q54" s="108"/>
    </row>
    <row r="55" spans="1:30" s="94" customFormat="1" ht="18" x14ac:dyDescent="0.25">
      <c r="A55" s="110" t="s">
        <v>155</v>
      </c>
      <c r="B55" s="111"/>
      <c r="C55" s="111"/>
      <c r="D55" s="111"/>
      <c r="E55" s="112"/>
      <c r="F55" s="111"/>
      <c r="G55" s="112"/>
      <c r="H55" s="111"/>
      <c r="I55" s="111"/>
      <c r="J55" s="111"/>
      <c r="K55" s="113"/>
      <c r="L55" s="114"/>
      <c r="M55" s="115"/>
      <c r="N55" s="114"/>
      <c r="O55" s="115"/>
      <c r="P55" s="114"/>
      <c r="Q55" s="114"/>
    </row>
    <row r="56" spans="1:30" s="94" customFormat="1" ht="18" x14ac:dyDescent="0.25">
      <c r="A56" s="110"/>
      <c r="B56" s="111"/>
      <c r="C56" s="111"/>
      <c r="D56" s="111"/>
      <c r="E56" s="112"/>
      <c r="F56" s="111"/>
      <c r="G56" s="112"/>
      <c r="H56" s="111"/>
      <c r="I56" s="111"/>
      <c r="J56" s="111"/>
      <c r="K56" s="113"/>
      <c r="L56" s="114"/>
      <c r="M56" s="115"/>
      <c r="N56" s="114"/>
      <c r="O56" s="115"/>
      <c r="P56" s="114"/>
      <c r="Q56" s="114"/>
      <c r="AB56" s="119"/>
      <c r="AC56" s="119"/>
      <c r="AD56" s="119"/>
    </row>
    <row r="57" spans="1:30" s="119" customFormat="1" ht="15.75" x14ac:dyDescent="0.25">
      <c r="A57" s="116"/>
      <c r="B57" s="117"/>
      <c r="C57" s="117"/>
      <c r="D57" s="117"/>
      <c r="E57" s="118"/>
      <c r="F57" s="117"/>
      <c r="G57" s="118"/>
      <c r="H57" s="117"/>
      <c r="I57" s="117"/>
      <c r="J57" s="117"/>
      <c r="K57" s="117"/>
      <c r="L57" s="117"/>
      <c r="M57" s="117"/>
      <c r="N57" s="117"/>
      <c r="O57" s="117"/>
      <c r="P57" s="117"/>
      <c r="Q57" s="117"/>
      <c r="AB57" s="122"/>
      <c r="AC57" s="122"/>
      <c r="AD57" s="122"/>
    </row>
    <row r="58" spans="1:30" s="122" customFormat="1" ht="15.75" x14ac:dyDescent="0.25">
      <c r="A58" s="273"/>
      <c r="B58" s="119"/>
      <c r="C58" s="120"/>
      <c r="D58" s="119"/>
      <c r="E58" s="121"/>
      <c r="F58" s="119"/>
      <c r="G58" s="119"/>
      <c r="H58" s="119"/>
      <c r="I58" s="119"/>
      <c r="J58" s="119"/>
      <c r="K58" s="119"/>
      <c r="L58" s="119"/>
      <c r="M58" s="119"/>
      <c r="N58" s="119"/>
      <c r="O58" s="119"/>
      <c r="P58" s="119"/>
      <c r="Q58" s="119"/>
    </row>
    <row r="59" spans="1:30" s="122" customFormat="1" ht="15.75" x14ac:dyDescent="0.25">
      <c r="A59" s="116"/>
      <c r="B59" s="119"/>
      <c r="C59" s="120"/>
      <c r="D59" s="119"/>
      <c r="E59" s="121"/>
      <c r="F59" s="119"/>
      <c r="G59" s="119"/>
      <c r="H59" s="119"/>
      <c r="I59" s="119"/>
      <c r="J59" s="119"/>
      <c r="K59" s="119"/>
      <c r="L59" s="119"/>
      <c r="M59" s="119"/>
      <c r="N59" s="119"/>
      <c r="O59" s="119"/>
      <c r="P59" s="119"/>
      <c r="Q59" s="119"/>
    </row>
    <row r="60" spans="1:30" s="122" customFormat="1" ht="15.75" x14ac:dyDescent="0.25">
      <c r="A60" s="273"/>
      <c r="B60" s="119"/>
      <c r="C60" s="120"/>
      <c r="D60" s="119"/>
      <c r="E60" s="121"/>
      <c r="F60" s="119"/>
      <c r="G60" s="119"/>
      <c r="H60" s="119"/>
      <c r="I60" s="119"/>
      <c r="J60" s="119"/>
      <c r="K60" s="119"/>
      <c r="L60" s="119"/>
      <c r="M60" s="119"/>
      <c r="N60" s="119"/>
      <c r="O60" s="119"/>
      <c r="P60" s="119"/>
      <c r="Q60" s="119"/>
      <c r="AB60"/>
      <c r="AC60"/>
      <c r="AD60"/>
    </row>
    <row r="61" spans="1:30" ht="15.75" x14ac:dyDescent="0.25">
      <c r="A61" s="274"/>
      <c r="B61" s="123"/>
      <c r="C61" s="275"/>
      <c r="D61" s="123"/>
      <c r="E61" s="124"/>
      <c r="F61" s="123"/>
      <c r="G61" s="123"/>
      <c r="H61" s="123"/>
      <c r="I61" s="123"/>
      <c r="J61" s="123"/>
      <c r="K61" s="123"/>
      <c r="L61" s="123"/>
      <c r="M61" s="123"/>
      <c r="N61" s="123"/>
      <c r="O61" s="123"/>
      <c r="P61" s="123"/>
      <c r="Q61" s="123"/>
    </row>
    <row r="62" spans="1:30" ht="15.75" x14ac:dyDescent="0.25">
      <c r="A62" s="274"/>
      <c r="B62" s="276"/>
      <c r="C62" s="275"/>
      <c r="D62" s="276"/>
      <c r="E62" s="277"/>
      <c r="F62" s="276"/>
      <c r="G62" s="276"/>
      <c r="H62" s="276"/>
      <c r="I62" s="276"/>
      <c r="J62" s="276"/>
      <c r="K62" s="276"/>
      <c r="L62" s="276"/>
      <c r="M62" s="276"/>
      <c r="N62" s="276"/>
      <c r="O62" s="276"/>
      <c r="P62" s="276"/>
      <c r="Q62" s="276"/>
      <c r="AB62" s="94"/>
      <c r="AC62" s="94"/>
      <c r="AD62" s="94"/>
    </row>
    <row r="63" spans="1:30" s="94" customFormat="1" ht="15.75" customHeight="1" x14ac:dyDescent="0.25">
      <c r="A63" s="274"/>
      <c r="B63" s="111"/>
      <c r="C63" s="111"/>
      <c r="D63" s="111"/>
      <c r="E63" s="112"/>
      <c r="F63" s="111"/>
      <c r="G63" s="112"/>
      <c r="H63" s="111"/>
      <c r="I63" s="111"/>
      <c r="J63" s="111"/>
      <c r="K63" s="113"/>
      <c r="L63" s="114"/>
      <c r="M63" s="115"/>
      <c r="N63" s="114"/>
      <c r="O63" s="115"/>
      <c r="P63" s="114"/>
      <c r="Q63" s="114"/>
      <c r="AB63"/>
      <c r="AC63"/>
      <c r="AD63"/>
    </row>
    <row r="64" spans="1:30" ht="15.75" x14ac:dyDescent="0.25">
      <c r="A64" s="278"/>
      <c r="B64" s="278"/>
      <c r="C64" s="279"/>
      <c r="D64" s="278"/>
      <c r="E64" s="280"/>
      <c r="F64" s="278"/>
      <c r="G64" s="278"/>
      <c r="H64" s="278"/>
      <c r="I64" s="278"/>
      <c r="J64" s="278"/>
      <c r="K64" s="278"/>
      <c r="L64" s="278"/>
      <c r="M64" s="278"/>
      <c r="N64" s="278"/>
      <c r="O64" s="278"/>
      <c r="P64" s="278"/>
      <c r="Q64" s="278"/>
    </row>
    <row r="65" spans="1:32" x14ac:dyDescent="0.25">
      <c r="A65" s="82"/>
      <c r="B65" s="56"/>
      <c r="C65" s="82"/>
      <c r="D65" s="82"/>
      <c r="E65" s="82"/>
      <c r="F65" s="82"/>
      <c r="G65" s="82"/>
      <c r="H65" s="82"/>
      <c r="I65" s="82"/>
      <c r="J65" s="82"/>
      <c r="K65" s="82"/>
      <c r="L65" s="82"/>
      <c r="M65" s="82"/>
      <c r="N65" s="82"/>
      <c r="O65" s="82"/>
      <c r="P65" s="82"/>
      <c r="Q65" s="82"/>
    </row>
    <row r="66" spans="1:32" x14ac:dyDescent="0.25">
      <c r="A66" s="82"/>
      <c r="B66" s="56"/>
      <c r="C66" s="82"/>
      <c r="D66" s="82"/>
      <c r="E66" s="82"/>
      <c r="F66" s="82"/>
      <c r="G66" s="82"/>
      <c r="H66" s="82"/>
      <c r="I66" s="82"/>
      <c r="J66" s="82"/>
      <c r="K66" s="82"/>
      <c r="L66" s="82"/>
      <c r="M66" s="82"/>
      <c r="N66" s="82"/>
      <c r="O66" s="82"/>
      <c r="P66" s="82"/>
      <c r="Q66" s="82"/>
    </row>
    <row r="67" spans="1:32" ht="15.75" x14ac:dyDescent="0.25">
      <c r="A67" s="281"/>
      <c r="B67" s="282"/>
      <c r="C67" s="282"/>
      <c r="D67" s="283" t="s">
        <v>156</v>
      </c>
      <c r="E67" s="283"/>
      <c r="F67" s="282"/>
      <c r="G67" s="284"/>
      <c r="H67" s="282"/>
      <c r="I67" s="282"/>
      <c r="J67" s="282"/>
      <c r="K67" s="282"/>
      <c r="L67" s="75"/>
      <c r="M67" s="49"/>
      <c r="N67" s="75"/>
      <c r="O67" s="49"/>
      <c r="P67" s="75"/>
      <c r="Q67" s="75"/>
    </row>
    <row r="68" spans="1:32" ht="15.75" x14ac:dyDescent="0.25">
      <c r="A68" s="281"/>
      <c r="B68" s="282"/>
      <c r="C68" s="282"/>
      <c r="D68" s="282"/>
      <c r="E68" s="284"/>
      <c r="F68" s="282"/>
      <c r="G68" s="284"/>
      <c r="H68" s="282"/>
      <c r="I68" s="282"/>
      <c r="J68" s="282"/>
      <c r="K68" s="282"/>
      <c r="L68" s="75"/>
      <c r="M68" s="49"/>
      <c r="N68" s="75"/>
      <c r="O68" s="49"/>
      <c r="P68" s="75"/>
      <c r="Q68" s="75"/>
    </row>
    <row r="69" spans="1:32" ht="15.75" x14ac:dyDescent="0.25">
      <c r="A69" s="282"/>
      <c r="B69" s="282"/>
      <c r="C69" s="285"/>
      <c r="D69" s="282"/>
      <c r="E69" s="286" t="s">
        <v>157</v>
      </c>
      <c r="F69" s="282"/>
      <c r="G69" s="282"/>
      <c r="H69" s="282"/>
      <c r="I69" s="282"/>
      <c r="J69" s="282"/>
      <c r="K69" s="282"/>
      <c r="L69" s="75"/>
      <c r="M69" s="49"/>
      <c r="N69" s="75"/>
      <c r="O69" s="49"/>
      <c r="P69" s="75"/>
      <c r="Q69" s="75"/>
    </row>
    <row r="70" spans="1:32" ht="15.75" x14ac:dyDescent="0.25">
      <c r="A70" s="282"/>
      <c r="B70" s="282"/>
      <c r="C70" s="287"/>
      <c r="D70" s="282"/>
      <c r="E70" s="286" t="s">
        <v>158</v>
      </c>
      <c r="F70" s="282"/>
      <c r="G70" s="287"/>
      <c r="H70" s="287"/>
      <c r="I70" s="287" t="s">
        <v>159</v>
      </c>
      <c r="J70" s="282"/>
      <c r="K70" s="288"/>
      <c r="L70" s="75"/>
      <c r="M70" s="49"/>
      <c r="N70" s="75"/>
      <c r="O70" s="49"/>
      <c r="P70" s="75"/>
      <c r="Q70" s="75"/>
    </row>
    <row r="71" spans="1:32" ht="15.75" x14ac:dyDescent="0.25">
      <c r="A71" s="282"/>
      <c r="B71" s="282"/>
      <c r="C71" s="287"/>
      <c r="D71" s="289"/>
      <c r="E71" s="287"/>
      <c r="F71" s="289"/>
      <c r="G71" s="287"/>
      <c r="H71" s="287"/>
      <c r="I71" s="287" t="s">
        <v>160</v>
      </c>
      <c r="J71" s="282"/>
      <c r="K71" s="282"/>
      <c r="L71" s="75"/>
      <c r="M71" s="49"/>
      <c r="N71" s="75"/>
      <c r="O71" s="49"/>
      <c r="P71" s="75"/>
      <c r="Q71" s="75"/>
      <c r="AB71" s="123"/>
      <c r="AC71" s="123"/>
      <c r="AD71" s="123"/>
    </row>
    <row r="72" spans="1:32" ht="15.75" x14ac:dyDescent="0.25">
      <c r="A72" s="290"/>
      <c r="B72" s="282"/>
      <c r="C72" s="291">
        <f>I72-1.5%</f>
        <v>2.5000000000000001E-2</v>
      </c>
      <c r="D72" s="282"/>
      <c r="E72" s="291">
        <f>I72-1%</f>
        <v>0.03</v>
      </c>
      <c r="F72" s="282"/>
      <c r="G72" s="291">
        <f>I72-0.5%</f>
        <v>3.5000000000000003E-2</v>
      </c>
      <c r="H72" s="282"/>
      <c r="I72" s="292">
        <v>0.04</v>
      </c>
      <c r="J72" s="282"/>
      <c r="K72" s="291">
        <f>I72+0.5%</f>
        <v>4.4999999999999998E-2</v>
      </c>
      <c r="L72" s="293"/>
      <c r="M72" s="44"/>
      <c r="N72" s="293"/>
      <c r="O72" s="44"/>
      <c r="P72" s="293"/>
      <c r="Q72" s="293"/>
      <c r="R72" s="294"/>
      <c r="S72" s="123"/>
      <c r="T72" s="123"/>
      <c r="U72" s="123"/>
      <c r="V72" s="123"/>
      <c r="W72" s="123"/>
      <c r="X72" s="123"/>
      <c r="Y72" s="123"/>
      <c r="Z72" s="123"/>
      <c r="AA72" s="123"/>
      <c r="AB72" s="123"/>
      <c r="AC72" s="123"/>
      <c r="AD72" s="123"/>
      <c r="AE72" s="123"/>
      <c r="AF72" s="123"/>
    </row>
    <row r="73" spans="1:32" ht="20.100000000000001" customHeight="1" x14ac:dyDescent="0.25">
      <c r="A73" s="289" t="s">
        <v>161</v>
      </c>
      <c r="B73" s="295"/>
      <c r="C73" s="296">
        <f>($M$38/(1-C72))</f>
        <v>1489.7600578184308</v>
      </c>
      <c r="D73" s="296"/>
      <c r="E73" s="296">
        <f>($M$38/(1-E72))</f>
        <v>1497.439233374196</v>
      </c>
      <c r="F73" s="296">
        <f>($M$38/(1-F69))</f>
        <v>1452.5160563729701</v>
      </c>
      <c r="G73" s="296">
        <f>($M$38/(1-G72))</f>
        <v>1505.1979858787256</v>
      </c>
      <c r="H73" s="296"/>
      <c r="I73" s="296">
        <f>($M$38/(1-$I$72))</f>
        <v>1513.0375587218439</v>
      </c>
      <c r="J73" s="282"/>
      <c r="K73" s="296">
        <f>($M$38/(1-K72))</f>
        <v>1520.9592213329531</v>
      </c>
      <c r="L73" s="293"/>
      <c r="M73" s="44"/>
      <c r="N73" s="293"/>
      <c r="O73" s="44"/>
      <c r="P73" s="293"/>
      <c r="Q73" s="293"/>
      <c r="R73" s="123"/>
      <c r="S73" s="123"/>
      <c r="T73" s="123"/>
      <c r="U73" s="123"/>
      <c r="V73" s="123"/>
      <c r="W73" s="123"/>
      <c r="X73" s="123"/>
      <c r="Y73" s="123"/>
      <c r="Z73" s="123"/>
      <c r="AA73" s="123"/>
      <c r="AB73" s="123"/>
      <c r="AC73" s="123"/>
      <c r="AD73" s="123"/>
      <c r="AE73" s="123"/>
      <c r="AF73" s="123"/>
    </row>
    <row r="74" spans="1:32" ht="20.100000000000001" customHeight="1" x14ac:dyDescent="0.25">
      <c r="A74" s="289" t="s">
        <v>162</v>
      </c>
      <c r="B74" s="289"/>
      <c r="C74" s="296">
        <f>($M$49/(1-C$72))</f>
        <v>1562.0613562993519</v>
      </c>
      <c r="D74" s="296"/>
      <c r="E74" s="296">
        <f>($M$49/(1-E$72))</f>
        <v>1570.1132189606888</v>
      </c>
      <c r="F74" s="296"/>
      <c r="G74" s="296">
        <f>($M$49/(1-G$72))</f>
        <v>1578.2485206133349</v>
      </c>
      <c r="H74" s="296"/>
      <c r="I74" s="296">
        <f>($M$49/(1-I$72))</f>
        <v>1586.4685649915293</v>
      </c>
      <c r="J74" s="282"/>
      <c r="K74" s="296">
        <f>($M$49/(1-K$72))</f>
        <v>1594.7746831328461</v>
      </c>
      <c r="L74" s="293"/>
      <c r="M74" s="44"/>
      <c r="N74" s="293"/>
      <c r="O74" s="44"/>
      <c r="P74" s="293"/>
      <c r="Q74" s="293"/>
      <c r="R74" s="123"/>
      <c r="S74" s="123"/>
      <c r="T74" s="123"/>
      <c r="U74" s="123"/>
      <c r="V74" s="123"/>
      <c r="W74" s="123"/>
      <c r="X74" s="123"/>
      <c r="Y74" s="123"/>
      <c r="Z74" s="123"/>
      <c r="AA74" s="123"/>
      <c r="AB74" s="123"/>
      <c r="AC74" s="123"/>
      <c r="AD74" s="123"/>
      <c r="AE74" s="123"/>
      <c r="AF74" s="123"/>
    </row>
    <row r="75" spans="1:32" ht="3.75" customHeight="1" x14ac:dyDescent="0.25">
      <c r="A75" s="289" t="s">
        <v>162</v>
      </c>
      <c r="B75" s="289"/>
      <c r="C75" s="297"/>
      <c r="D75" s="289"/>
      <c r="E75" s="298"/>
      <c r="F75" s="289"/>
      <c r="G75" s="297"/>
      <c r="H75" s="297"/>
      <c r="I75" s="289"/>
      <c r="J75" s="282"/>
      <c r="K75" s="289"/>
      <c r="L75" s="293"/>
      <c r="M75" s="44"/>
      <c r="N75" s="293"/>
      <c r="O75" s="44"/>
      <c r="P75" s="293"/>
      <c r="Q75" s="293"/>
      <c r="R75" s="123"/>
      <c r="S75" s="123"/>
      <c r="T75" s="123"/>
      <c r="U75" s="123"/>
      <c r="V75" s="123"/>
      <c r="W75" s="123"/>
      <c r="X75" s="123"/>
      <c r="Y75" s="123"/>
      <c r="Z75" s="123"/>
      <c r="AA75" s="123"/>
      <c r="AB75" s="123"/>
      <c r="AC75" s="123"/>
      <c r="AD75" s="123"/>
      <c r="AE75" s="123"/>
      <c r="AF75" s="123"/>
    </row>
    <row r="76" spans="1:32" ht="12.75" customHeight="1" x14ac:dyDescent="0.25">
      <c r="A76" s="282"/>
      <c r="B76" s="282"/>
      <c r="C76" s="297"/>
      <c r="D76" s="289"/>
      <c r="E76" s="298"/>
      <c r="F76" s="289"/>
      <c r="G76" s="297"/>
      <c r="H76" s="297"/>
      <c r="I76" s="289"/>
      <c r="J76" s="282"/>
      <c r="K76" s="289"/>
      <c r="L76" s="293"/>
      <c r="M76" s="44"/>
      <c r="N76" s="293"/>
      <c r="O76" s="44"/>
      <c r="P76" s="293"/>
      <c r="Q76" s="293"/>
      <c r="R76" s="123"/>
      <c r="S76" s="123"/>
      <c r="T76" s="123"/>
      <c r="U76" s="123"/>
      <c r="V76" s="123"/>
      <c r="W76" s="123"/>
      <c r="X76" s="123"/>
      <c r="Y76" s="123"/>
      <c r="Z76" s="123"/>
      <c r="AA76" s="123"/>
      <c r="AB76" s="123"/>
      <c r="AC76" s="123"/>
      <c r="AD76" s="123"/>
      <c r="AE76" s="123"/>
      <c r="AF76" s="123"/>
    </row>
    <row r="77" spans="1:32" s="119" customFormat="1" ht="15.75" x14ac:dyDescent="0.25">
      <c r="A77" s="116"/>
      <c r="B77" s="117"/>
      <c r="C77" s="117"/>
      <c r="D77" s="117"/>
      <c r="E77" s="118"/>
      <c r="F77" s="117"/>
      <c r="G77" s="118"/>
      <c r="H77" s="117"/>
      <c r="I77" s="117"/>
      <c r="J77" s="117"/>
      <c r="K77" s="117"/>
      <c r="L77" s="117"/>
      <c r="M77" s="117"/>
      <c r="N77" s="117"/>
      <c r="O77" s="117"/>
      <c r="P77" s="117"/>
      <c r="Q77" s="117"/>
      <c r="AB77" s="122"/>
      <c r="AC77" s="122"/>
      <c r="AD77" s="122"/>
    </row>
    <row r="78" spans="1:32" x14ac:dyDescent="0.25">
      <c r="A78" s="123"/>
      <c r="B78" s="123"/>
      <c r="C78" s="120"/>
      <c r="D78" s="123"/>
      <c r="E78" s="124"/>
      <c r="F78" s="123"/>
      <c r="G78" s="123"/>
      <c r="H78" s="123"/>
      <c r="I78" s="123"/>
      <c r="J78" s="123"/>
      <c r="K78" s="123"/>
      <c r="L78" s="123"/>
      <c r="M78" s="123"/>
      <c r="N78" s="123"/>
      <c r="O78" s="123"/>
      <c r="P78" s="123"/>
      <c r="Q78" s="123"/>
    </row>
    <row r="79" spans="1:32" x14ac:dyDescent="0.25">
      <c r="A79" s="129"/>
      <c r="B79" s="123"/>
      <c r="C79" s="120"/>
      <c r="D79" s="123"/>
      <c r="E79" s="123"/>
      <c r="F79" s="123"/>
      <c r="G79" s="123"/>
      <c r="H79" s="123"/>
      <c r="I79" s="123"/>
      <c r="J79" s="123"/>
      <c r="K79" s="123"/>
      <c r="L79" s="123"/>
      <c r="M79" s="123"/>
      <c r="N79" s="123"/>
      <c r="O79" s="123"/>
      <c r="P79" s="123"/>
      <c r="Q79" s="123"/>
    </row>
    <row r="80" spans="1:32" x14ac:dyDescent="0.25">
      <c r="A80" s="129"/>
      <c r="B80" s="123"/>
      <c r="C80" s="120"/>
      <c r="D80" s="123"/>
      <c r="E80" s="123"/>
      <c r="F80" s="123"/>
      <c r="G80" s="123"/>
      <c r="H80" s="123"/>
      <c r="I80" s="123"/>
      <c r="J80" s="123"/>
      <c r="K80" s="123"/>
      <c r="L80" s="123"/>
      <c r="M80" s="123"/>
      <c r="N80" s="123"/>
      <c r="O80" s="123"/>
      <c r="P80" s="123"/>
      <c r="Q80" s="123"/>
    </row>
    <row r="81" spans="1:30" x14ac:dyDescent="0.25">
      <c r="A81" s="129"/>
      <c r="B81" s="123"/>
      <c r="C81" s="120"/>
      <c r="D81" s="123"/>
      <c r="E81" s="123"/>
      <c r="F81" s="123"/>
      <c r="G81" s="123"/>
      <c r="H81" s="123"/>
      <c r="I81" s="123"/>
      <c r="J81" s="123"/>
      <c r="K81" s="123"/>
      <c r="L81" s="123"/>
      <c r="M81" s="123"/>
      <c r="N81" s="123"/>
      <c r="O81" s="123"/>
      <c r="P81" s="123"/>
      <c r="Q81" s="123"/>
    </row>
    <row r="82" spans="1:30" x14ac:dyDescent="0.25">
      <c r="A82" s="130"/>
      <c r="B82" s="123"/>
      <c r="C82" s="120"/>
      <c r="D82" s="123"/>
      <c r="E82" s="123"/>
      <c r="F82" s="123"/>
      <c r="G82" s="123"/>
      <c r="H82" s="123"/>
      <c r="I82" s="123"/>
      <c r="J82" s="123"/>
      <c r="K82" s="123"/>
      <c r="L82" s="123"/>
      <c r="M82" s="123"/>
      <c r="N82" s="123"/>
      <c r="O82" s="123"/>
      <c r="P82" s="123"/>
      <c r="Q82" s="123"/>
    </row>
    <row r="83" spans="1:30" x14ac:dyDescent="0.25">
      <c r="A83" s="123"/>
      <c r="B83" s="123"/>
      <c r="C83" s="120"/>
      <c r="D83" s="123"/>
      <c r="E83" s="123"/>
      <c r="F83" s="123"/>
      <c r="G83" s="123"/>
      <c r="H83" s="123"/>
      <c r="I83" s="123"/>
      <c r="J83" s="123"/>
      <c r="K83" s="123"/>
      <c r="L83" s="123"/>
      <c r="M83" s="123"/>
      <c r="N83" s="123"/>
      <c r="O83" s="123"/>
      <c r="P83" s="123"/>
      <c r="Q83" s="123"/>
      <c r="AB83" s="132"/>
      <c r="AC83" s="132"/>
      <c r="AD83" s="132"/>
    </row>
    <row r="84" spans="1:30" s="132" customFormat="1" ht="15" customHeight="1" x14ac:dyDescent="0.25">
      <c r="A84" s="129"/>
      <c r="B84" s="131"/>
      <c r="C84" s="131"/>
      <c r="D84" s="131"/>
      <c r="E84" s="131"/>
      <c r="F84" s="131"/>
      <c r="G84" s="131"/>
      <c r="H84" s="131"/>
      <c r="I84" s="131"/>
      <c r="J84" s="131"/>
      <c r="K84" s="131"/>
      <c r="L84" s="131"/>
      <c r="M84" s="131"/>
      <c r="N84" s="131"/>
      <c r="O84" s="131"/>
      <c r="P84" s="131"/>
      <c r="Q84" s="123"/>
    </row>
    <row r="85" spans="1:30" s="132" customFormat="1" ht="15" customHeight="1" x14ac:dyDescent="0.25">
      <c r="A85" s="129"/>
      <c r="B85" s="131"/>
      <c r="C85" s="131"/>
      <c r="D85" s="131"/>
      <c r="E85" s="131"/>
      <c r="F85" s="131"/>
      <c r="G85" s="131"/>
      <c r="H85" s="131"/>
      <c r="I85" s="131"/>
      <c r="J85" s="131"/>
      <c r="K85" s="131"/>
      <c r="L85" s="131"/>
      <c r="M85" s="131"/>
      <c r="N85" s="131"/>
      <c r="O85" s="131"/>
      <c r="P85" s="131"/>
      <c r="Q85" s="123"/>
    </row>
    <row r="86" spans="1:30" s="132" customFormat="1" ht="15" customHeight="1" x14ac:dyDescent="0.25">
      <c r="A86" s="129"/>
      <c r="B86" s="131"/>
      <c r="C86" s="131"/>
      <c r="D86" s="131"/>
      <c r="E86" s="131"/>
      <c r="F86" s="131"/>
      <c r="G86" s="131"/>
      <c r="H86" s="131"/>
      <c r="I86" s="131"/>
      <c r="J86" s="131"/>
      <c r="K86" s="131"/>
      <c r="L86" s="131"/>
      <c r="M86" s="131"/>
      <c r="N86" s="131"/>
      <c r="O86" s="131"/>
      <c r="P86" s="131"/>
      <c r="Q86" s="123"/>
    </row>
    <row r="87" spans="1:30" s="132" customFormat="1" ht="15" customHeight="1" x14ac:dyDescent="0.25">
      <c r="A87" s="129"/>
      <c r="B87" s="131"/>
      <c r="C87" s="131"/>
      <c r="D87" s="131"/>
      <c r="E87" s="131"/>
      <c r="F87" s="131"/>
      <c r="G87" s="131"/>
      <c r="H87" s="131"/>
      <c r="I87" s="131"/>
      <c r="J87" s="131"/>
      <c r="K87" s="131"/>
      <c r="L87" s="131"/>
      <c r="M87" s="131"/>
      <c r="N87" s="131"/>
      <c r="O87" s="131"/>
      <c r="P87" s="131"/>
      <c r="Q87" s="123"/>
      <c r="AB87"/>
      <c r="AC87"/>
      <c r="AD87"/>
    </row>
    <row r="88" spans="1:30" x14ac:dyDescent="0.25">
      <c r="A88" s="123"/>
      <c r="B88" s="123"/>
      <c r="C88" s="123"/>
      <c r="D88" s="123"/>
      <c r="E88" s="123"/>
      <c r="F88" s="123"/>
      <c r="G88" s="123"/>
      <c r="H88" s="123"/>
      <c r="I88" s="123"/>
      <c r="J88" s="123"/>
      <c r="K88" s="123"/>
      <c r="L88" s="123"/>
      <c r="M88" s="123"/>
      <c r="N88" s="123"/>
      <c r="O88" s="123"/>
      <c r="P88" s="123"/>
      <c r="Q88" s="123"/>
    </row>
    <row r="89" spans="1:30" x14ac:dyDescent="0.25">
      <c r="A89" s="129"/>
      <c r="C89" s="123"/>
      <c r="D89" s="123"/>
      <c r="E89" s="123"/>
      <c r="F89" s="123"/>
      <c r="G89" s="123"/>
      <c r="H89" s="128"/>
      <c r="I89" s="128"/>
      <c r="J89" s="128"/>
      <c r="K89" s="128"/>
      <c r="L89" s="128"/>
      <c r="M89" s="128"/>
      <c r="N89" s="123"/>
      <c r="O89" s="123"/>
      <c r="P89" s="123"/>
      <c r="Q89" s="123"/>
    </row>
  </sheetData>
  <mergeCells count="1">
    <mergeCell ref="A6:Q6"/>
  </mergeCells>
  <pageMargins left="0.7" right="0.7" top="0.75" bottom="0.75" header="0.3" footer="0.3"/>
  <pageSetup scale="72" fitToHeight="2" orientation="portrait" r:id="rId1"/>
  <rowBreaks count="1" manualBreakCount="1">
    <brk id="53" max="1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8"/>
  <sheetViews>
    <sheetView zoomScaleNormal="100" workbookViewId="0">
      <selection sqref="A1:I1"/>
    </sheetView>
  </sheetViews>
  <sheetFormatPr defaultColWidth="8.85546875" defaultRowHeight="15" x14ac:dyDescent="0.25"/>
  <cols>
    <col min="1" max="1" width="31.28515625" customWidth="1"/>
    <col min="2" max="2" width="2" customWidth="1"/>
    <col min="3" max="3" width="13.85546875" style="252" customWidth="1"/>
    <col min="4" max="4" width="1.140625" customWidth="1"/>
    <col min="5" max="5" width="9.42578125" style="24" customWidth="1"/>
    <col min="6" max="6" width="1.42578125" customWidth="1"/>
    <col min="7" max="7" width="12.140625" customWidth="1"/>
    <col min="8" max="8" width="1.85546875" customWidth="1"/>
    <col min="9" max="9" width="15.7109375" style="25" customWidth="1"/>
    <col min="10" max="10" width="1.42578125" customWidth="1"/>
    <col min="11" max="11" width="8.140625" style="253" customWidth="1"/>
    <col min="12" max="12" width="11.42578125" style="254" customWidth="1"/>
    <col min="13" max="13" width="12" style="255" customWidth="1"/>
    <col min="14" max="14" width="10.28515625" style="256" customWidth="1"/>
    <col min="15" max="15" width="10.7109375" style="257" customWidth="1"/>
    <col min="16" max="16" width="14" style="258" customWidth="1"/>
    <col min="17" max="17" width="1.85546875" style="258" customWidth="1"/>
  </cols>
  <sheetData>
    <row r="1" spans="1:17" ht="29.25" customHeight="1" thickBot="1" x14ac:dyDescent="0.3">
      <c r="A1" s="308" t="s">
        <v>184</v>
      </c>
      <c r="B1" s="308"/>
      <c r="C1" s="308"/>
      <c r="D1" s="308"/>
      <c r="E1" s="308"/>
      <c r="F1" s="308"/>
      <c r="G1" s="308"/>
      <c r="H1" s="308"/>
      <c r="I1" s="308"/>
      <c r="J1" s="268"/>
      <c r="K1" s="268"/>
      <c r="L1" s="268"/>
      <c r="M1" s="268"/>
      <c r="N1" s="268"/>
      <c r="O1" s="268"/>
      <c r="P1" s="268"/>
      <c r="Q1" s="268"/>
    </row>
    <row r="2" spans="1:17" s="150" customFormat="1" ht="16.5" thickTop="1" x14ac:dyDescent="0.25">
      <c r="A2" s="138"/>
      <c r="B2" s="138"/>
      <c r="C2" s="139" t="s">
        <v>31</v>
      </c>
      <c r="D2" s="139"/>
      <c r="E2" s="140"/>
      <c r="F2" s="139"/>
      <c r="G2" s="139" t="s">
        <v>33</v>
      </c>
      <c r="H2" s="139"/>
      <c r="I2" s="141" t="s">
        <v>34</v>
      </c>
      <c r="J2" s="142"/>
      <c r="K2" s="143" t="s">
        <v>69</v>
      </c>
      <c r="L2" s="144" t="s">
        <v>70</v>
      </c>
      <c r="M2" s="145" t="s">
        <v>70</v>
      </c>
      <c r="N2" s="146" t="s">
        <v>71</v>
      </c>
      <c r="O2" s="147" t="s">
        <v>72</v>
      </c>
      <c r="P2" s="148" t="s">
        <v>72</v>
      </c>
      <c r="Q2" s="149"/>
    </row>
    <row r="3" spans="1:17" s="150" customFormat="1" ht="14.45" customHeight="1" x14ac:dyDescent="0.25">
      <c r="A3" s="151" t="s">
        <v>35</v>
      </c>
      <c r="B3" s="152"/>
      <c r="C3" s="151" t="s">
        <v>73</v>
      </c>
      <c r="D3" s="151"/>
      <c r="E3" s="153" t="s">
        <v>37</v>
      </c>
      <c r="F3" s="151"/>
      <c r="G3" s="151" t="s">
        <v>38</v>
      </c>
      <c r="H3" s="151"/>
      <c r="I3" s="154" t="s">
        <v>38</v>
      </c>
      <c r="J3" s="155"/>
      <c r="K3" s="156" t="s">
        <v>74</v>
      </c>
      <c r="L3" s="157" t="s">
        <v>75</v>
      </c>
      <c r="M3" s="158" t="s">
        <v>75</v>
      </c>
      <c r="N3" s="159" t="s">
        <v>76</v>
      </c>
      <c r="O3" s="160" t="s">
        <v>77</v>
      </c>
      <c r="P3" s="149" t="s">
        <v>77</v>
      </c>
      <c r="Q3" s="149"/>
    </row>
    <row r="4" spans="1:17" s="150" customFormat="1" ht="15.75" x14ac:dyDescent="0.25">
      <c r="A4" s="161"/>
      <c r="B4" s="162"/>
      <c r="C4" s="161"/>
      <c r="D4" s="162"/>
      <c r="E4" s="163"/>
      <c r="F4" s="162"/>
      <c r="G4" s="162"/>
      <c r="H4" s="162"/>
      <c r="I4" s="164"/>
      <c r="J4" s="165"/>
      <c r="K4" s="166" t="s">
        <v>78</v>
      </c>
      <c r="L4" s="167" t="s">
        <v>79</v>
      </c>
      <c r="M4" s="168" t="s">
        <v>80</v>
      </c>
      <c r="N4" s="169" t="s">
        <v>81</v>
      </c>
      <c r="O4" s="170" t="s">
        <v>82</v>
      </c>
      <c r="P4" s="171" t="s">
        <v>75</v>
      </c>
      <c r="Q4" s="171"/>
    </row>
    <row r="5" spans="1:17" x14ac:dyDescent="0.25">
      <c r="A5" s="44"/>
      <c r="B5" s="44"/>
      <c r="C5" s="172"/>
      <c r="D5" s="44"/>
      <c r="E5" s="45"/>
      <c r="F5" s="44"/>
      <c r="G5" s="46"/>
      <c r="H5" s="44"/>
      <c r="I5" s="47"/>
      <c r="J5" s="38"/>
      <c r="K5" s="173"/>
      <c r="L5" s="174"/>
      <c r="M5" s="175"/>
      <c r="N5" s="307"/>
      <c r="O5" s="307"/>
      <c r="P5" s="307"/>
      <c r="Q5" s="176"/>
    </row>
    <row r="6" spans="1:17" x14ac:dyDescent="0.25">
      <c r="A6" s="177" t="s">
        <v>83</v>
      </c>
      <c r="B6" s="56"/>
      <c r="C6" s="178"/>
      <c r="D6" s="56"/>
      <c r="E6" s="125"/>
      <c r="F6" s="56"/>
      <c r="G6" s="179"/>
      <c r="H6" s="56"/>
      <c r="I6" s="180"/>
      <c r="J6" s="181"/>
      <c r="K6" s="182"/>
      <c r="L6" s="183"/>
      <c r="M6" s="184"/>
      <c r="N6" s="185"/>
      <c r="O6" s="186"/>
      <c r="P6" s="187"/>
      <c r="Q6" s="187"/>
    </row>
    <row r="7" spans="1:17" ht="7.5" customHeight="1" x14ac:dyDescent="0.25">
      <c r="A7" s="56"/>
      <c r="B7" s="56"/>
      <c r="C7" s="178"/>
      <c r="D7" s="56"/>
      <c r="E7" s="125"/>
      <c r="F7" s="56"/>
      <c r="G7" s="179"/>
      <c r="H7" s="56"/>
      <c r="I7" s="180"/>
      <c r="J7" s="181"/>
      <c r="K7" s="182"/>
      <c r="L7" s="183"/>
      <c r="M7" s="184"/>
      <c r="N7" s="185"/>
      <c r="O7" s="186"/>
      <c r="P7" s="187"/>
      <c r="Q7" s="187"/>
    </row>
    <row r="8" spans="1:17" ht="7.5" customHeight="1" x14ac:dyDescent="0.25">
      <c r="A8" s="56"/>
      <c r="B8" s="56"/>
      <c r="C8" s="178"/>
      <c r="D8" s="56"/>
      <c r="E8" s="125"/>
      <c r="F8" s="56"/>
      <c r="G8" s="179"/>
      <c r="H8" s="56"/>
      <c r="I8" s="192"/>
      <c r="J8" s="181"/>
      <c r="K8" s="182"/>
      <c r="L8" s="183"/>
      <c r="M8" s="184"/>
      <c r="N8" s="185"/>
      <c r="O8" s="186"/>
      <c r="P8" s="187"/>
      <c r="Q8" s="187"/>
    </row>
    <row r="9" spans="1:17" x14ac:dyDescent="0.25">
      <c r="A9" s="188" t="s">
        <v>85</v>
      </c>
      <c r="B9" s="56"/>
      <c r="C9" s="178"/>
      <c r="D9" s="56"/>
      <c r="E9" s="125"/>
      <c r="F9" s="56"/>
      <c r="G9" s="179"/>
      <c r="H9" s="56"/>
      <c r="I9" s="189">
        <f>SUM(I10:I11)</f>
        <v>1254000</v>
      </c>
      <c r="J9" s="181"/>
      <c r="K9" s="182"/>
      <c r="L9" s="183"/>
      <c r="M9" s="184"/>
      <c r="N9" s="185"/>
      <c r="O9" s="186"/>
      <c r="P9" s="187"/>
      <c r="Q9" s="187"/>
    </row>
    <row r="10" spans="1:17" x14ac:dyDescent="0.25">
      <c r="A10" s="193" t="s">
        <v>86</v>
      </c>
      <c r="B10" s="56"/>
      <c r="C10" s="190">
        <v>120</v>
      </c>
      <c r="D10" s="56"/>
      <c r="E10" s="58" t="s">
        <v>87</v>
      </c>
      <c r="F10" s="56"/>
      <c r="G10" s="191">
        <v>4200</v>
      </c>
      <c r="H10" s="301"/>
      <c r="I10" s="192">
        <f>C10*G10</f>
        <v>504000</v>
      </c>
      <c r="J10" s="181"/>
      <c r="K10" s="182">
        <v>30</v>
      </c>
      <c r="L10" s="183"/>
      <c r="M10" s="184"/>
      <c r="N10" s="185">
        <v>7.4999999999999997E-2</v>
      </c>
      <c r="O10" s="186"/>
      <c r="P10" s="187">
        <f>-PMT(N10,K10,I10)</f>
        <v>42674.302826890467</v>
      </c>
      <c r="Q10" s="187"/>
    </row>
    <row r="11" spans="1:17" x14ac:dyDescent="0.25">
      <c r="A11" s="57" t="s">
        <v>88</v>
      </c>
      <c r="B11" s="56"/>
      <c r="C11" s="190">
        <f>OpenLot_No.</f>
        <v>10000</v>
      </c>
      <c r="D11" s="56"/>
      <c r="E11" s="58" t="s">
        <v>84</v>
      </c>
      <c r="F11" s="56"/>
      <c r="G11" s="194">
        <v>75</v>
      </c>
      <c r="H11" s="302"/>
      <c r="I11" s="192">
        <f>C11*G11</f>
        <v>750000</v>
      </c>
      <c r="J11" s="181"/>
      <c r="K11" s="182">
        <v>30</v>
      </c>
      <c r="L11" s="183"/>
      <c r="M11" s="184"/>
      <c r="N11" s="185"/>
      <c r="O11" s="186"/>
      <c r="P11" s="187">
        <f>-PMT(N11,K11,I11)</f>
        <v>25000</v>
      </c>
      <c r="Q11" s="187"/>
    </row>
    <row r="12" spans="1:17" ht="7.5" customHeight="1" x14ac:dyDescent="0.25">
      <c r="A12" s="56"/>
      <c r="B12" s="56"/>
      <c r="C12" s="178"/>
      <c r="D12" s="56"/>
      <c r="E12" s="125"/>
      <c r="F12" s="56"/>
      <c r="G12" s="179"/>
      <c r="H12" s="56"/>
      <c r="I12" s="192"/>
      <c r="J12" s="181"/>
      <c r="K12" s="182"/>
      <c r="L12" s="183"/>
      <c r="M12" s="184"/>
      <c r="N12" s="185"/>
      <c r="O12" s="186"/>
      <c r="P12" s="187"/>
      <c r="Q12" s="187"/>
    </row>
    <row r="13" spans="1:17" x14ac:dyDescent="0.25">
      <c r="A13" s="188" t="s">
        <v>89</v>
      </c>
      <c r="B13" s="56"/>
      <c r="C13" s="178"/>
      <c r="D13" s="56"/>
      <c r="E13" s="125"/>
      <c r="F13" s="56"/>
      <c r="G13" s="179"/>
      <c r="H13" s="56"/>
      <c r="I13" s="195">
        <f>SUM(I14:I17)</f>
        <v>228800</v>
      </c>
      <c r="J13" s="181"/>
      <c r="K13" s="182"/>
      <c r="L13" s="183"/>
      <c r="M13" s="184"/>
      <c r="N13" s="185"/>
      <c r="O13" s="186"/>
      <c r="P13" s="187"/>
      <c r="Q13" s="187"/>
    </row>
    <row r="14" spans="1:17" x14ac:dyDescent="0.25">
      <c r="A14" s="55" t="s">
        <v>90</v>
      </c>
      <c r="B14" s="56"/>
      <c r="C14" s="190">
        <v>5</v>
      </c>
      <c r="D14" s="56"/>
      <c r="E14" s="58" t="s">
        <v>91</v>
      </c>
      <c r="F14" s="56"/>
      <c r="G14" s="191">
        <v>31600</v>
      </c>
      <c r="H14" s="301"/>
      <c r="I14" s="196">
        <f>C14*G14</f>
        <v>158000</v>
      </c>
      <c r="J14" s="181"/>
      <c r="K14" s="182">
        <v>30</v>
      </c>
      <c r="L14" s="183">
        <v>0</v>
      </c>
      <c r="M14" s="184"/>
      <c r="N14" s="185">
        <v>0.06</v>
      </c>
      <c r="O14" s="197">
        <v>7.2650000000000006E-2</v>
      </c>
      <c r="P14" s="187">
        <f>O14*I14</f>
        <v>11478.7</v>
      </c>
      <c r="Q14" s="187"/>
    </row>
    <row r="15" spans="1:17" x14ac:dyDescent="0.25">
      <c r="A15" s="57" t="s">
        <v>127</v>
      </c>
      <c r="B15" s="56"/>
      <c r="C15" s="190">
        <v>1</v>
      </c>
      <c r="D15" s="56"/>
      <c r="E15" s="58" t="s">
        <v>91</v>
      </c>
      <c r="F15" s="56"/>
      <c r="G15" s="191">
        <v>62000</v>
      </c>
      <c r="H15" s="301"/>
      <c r="I15" s="196">
        <f>C15*G15</f>
        <v>62000</v>
      </c>
      <c r="J15" s="181"/>
      <c r="K15" s="182">
        <v>30</v>
      </c>
      <c r="L15" s="183">
        <v>0</v>
      </c>
      <c r="M15" s="184"/>
      <c r="N15" s="185">
        <v>0.06</v>
      </c>
      <c r="O15" s="197">
        <v>7.2650000000000006E-2</v>
      </c>
      <c r="P15" s="187">
        <f>O15*I15</f>
        <v>4504.3</v>
      </c>
      <c r="Q15" s="187"/>
    </row>
    <row r="16" spans="1:17" x14ac:dyDescent="0.25">
      <c r="A16" s="57" t="s">
        <v>92</v>
      </c>
      <c r="B16" s="56"/>
      <c r="C16" s="190">
        <v>1</v>
      </c>
      <c r="D16" s="56"/>
      <c r="E16" s="58" t="s">
        <v>91</v>
      </c>
      <c r="F16" s="56"/>
      <c r="G16" s="191">
        <v>2800</v>
      </c>
      <c r="H16" s="301"/>
      <c r="I16" s="196">
        <f>C16*G16</f>
        <v>2800</v>
      </c>
      <c r="J16" s="181"/>
      <c r="K16" s="182">
        <v>30</v>
      </c>
      <c r="L16" s="183">
        <v>0</v>
      </c>
      <c r="M16" s="184"/>
      <c r="N16" s="185">
        <v>0.06</v>
      </c>
      <c r="O16" s="197">
        <v>7.2650000000000006E-2</v>
      </c>
      <c r="P16" s="187">
        <f>O16*I16</f>
        <v>203.42000000000002</v>
      </c>
      <c r="Q16" s="187"/>
    </row>
    <row r="17" spans="1:17" x14ac:dyDescent="0.25">
      <c r="A17" s="57" t="s">
        <v>93</v>
      </c>
      <c r="B17" s="56"/>
      <c r="C17" s="190">
        <v>12</v>
      </c>
      <c r="D17" s="56"/>
      <c r="E17" s="58" t="s">
        <v>94</v>
      </c>
      <c r="F17" s="56"/>
      <c r="G17" s="191">
        <v>500</v>
      </c>
      <c r="H17" s="301"/>
      <c r="I17" s="196">
        <f>C17*G17</f>
        <v>6000</v>
      </c>
      <c r="J17" s="181"/>
      <c r="K17" s="182">
        <v>5</v>
      </c>
      <c r="L17" s="183">
        <v>0</v>
      </c>
      <c r="M17" s="184"/>
      <c r="N17" s="185">
        <v>0.06</v>
      </c>
      <c r="O17" s="186">
        <v>0.2374</v>
      </c>
      <c r="P17" s="187">
        <f>O17*I17</f>
        <v>1424.4</v>
      </c>
      <c r="Q17" s="187"/>
    </row>
    <row r="18" spans="1:17" ht="7.5" customHeight="1" x14ac:dyDescent="0.25">
      <c r="A18" s="56"/>
      <c r="B18" s="56"/>
      <c r="C18" s="178"/>
      <c r="D18" s="56"/>
      <c r="E18" s="125"/>
      <c r="F18" s="56"/>
      <c r="G18" s="179"/>
      <c r="H18" s="56"/>
      <c r="I18" s="192"/>
      <c r="J18" s="181"/>
      <c r="K18" s="182"/>
      <c r="L18" s="183"/>
      <c r="M18" s="184"/>
      <c r="N18" s="185"/>
      <c r="O18" s="186"/>
      <c r="P18" s="187"/>
      <c r="Q18" s="187"/>
    </row>
    <row r="19" spans="1:17" x14ac:dyDescent="0.25">
      <c r="A19" s="65" t="s">
        <v>131</v>
      </c>
      <c r="B19" s="49"/>
      <c r="C19" s="127"/>
      <c r="D19" s="49"/>
      <c r="E19" s="50"/>
      <c r="F19" s="49"/>
      <c r="G19" s="51"/>
      <c r="H19" s="49"/>
      <c r="I19" s="198">
        <f>SUM(I20:I20)</f>
        <v>207000</v>
      </c>
      <c r="J19" s="33"/>
      <c r="K19" s="173"/>
      <c r="L19" s="199"/>
      <c r="M19" s="175"/>
      <c r="N19" s="200"/>
      <c r="O19" s="201"/>
      <c r="P19" s="176"/>
      <c r="Q19" s="187"/>
    </row>
    <row r="20" spans="1:17" x14ac:dyDescent="0.25">
      <c r="A20" s="72" t="s">
        <v>128</v>
      </c>
      <c r="B20" s="49"/>
      <c r="C20" s="190">
        <v>1</v>
      </c>
      <c r="D20" s="49"/>
      <c r="E20" s="69" t="s">
        <v>91</v>
      </c>
      <c r="F20" s="49"/>
      <c r="G20" s="202">
        <v>207000</v>
      </c>
      <c r="H20" s="301"/>
      <c r="I20" s="203">
        <f>C20*G20</f>
        <v>207000</v>
      </c>
      <c r="J20" s="33"/>
      <c r="K20" s="173">
        <v>30</v>
      </c>
      <c r="L20" s="183">
        <v>0</v>
      </c>
      <c r="M20" s="175"/>
      <c r="N20" s="185">
        <v>0.06</v>
      </c>
      <c r="O20" s="204">
        <v>7.2650000000000006E-2</v>
      </c>
      <c r="P20" s="205">
        <f>O20*(I20-L20)+(N20*L20)</f>
        <v>15038.550000000001</v>
      </c>
      <c r="Q20" s="187"/>
    </row>
    <row r="21" spans="1:17" x14ac:dyDescent="0.25">
      <c r="A21" s="72" t="s">
        <v>130</v>
      </c>
      <c r="B21" s="49"/>
      <c r="C21" s="190">
        <v>1</v>
      </c>
      <c r="D21" s="49"/>
      <c r="E21" s="69" t="s">
        <v>91</v>
      </c>
      <c r="F21" s="49"/>
      <c r="G21" s="202">
        <v>311000</v>
      </c>
      <c r="H21" s="301"/>
      <c r="I21" s="203">
        <f>C21*G21</f>
        <v>311000</v>
      </c>
      <c r="J21" s="33"/>
      <c r="K21" s="173">
        <v>30</v>
      </c>
      <c r="L21" s="183">
        <v>0</v>
      </c>
      <c r="M21" s="175"/>
      <c r="N21" s="185">
        <v>0.06</v>
      </c>
      <c r="O21" s="204">
        <v>7.2650000000000006E-2</v>
      </c>
      <c r="P21" s="205">
        <f t="shared" ref="P21:P22" si="0">O21*(I21-L21)+(N21*L21)</f>
        <v>22594.15</v>
      </c>
      <c r="Q21" s="187"/>
    </row>
    <row r="22" spans="1:17" x14ac:dyDescent="0.25">
      <c r="A22" s="72" t="s">
        <v>129</v>
      </c>
      <c r="B22" s="49"/>
      <c r="C22" s="190">
        <v>1</v>
      </c>
      <c r="D22" s="49"/>
      <c r="E22" s="69" t="s">
        <v>91</v>
      </c>
      <c r="F22" s="49"/>
      <c r="G22" s="202">
        <v>69000</v>
      </c>
      <c r="H22" s="301"/>
      <c r="I22" s="203">
        <f>C22*G22</f>
        <v>69000</v>
      </c>
      <c r="J22" s="33"/>
      <c r="K22" s="173">
        <v>30</v>
      </c>
      <c r="L22" s="183">
        <v>5000</v>
      </c>
      <c r="M22" s="175"/>
      <c r="N22" s="185">
        <v>0.06</v>
      </c>
      <c r="O22" s="204">
        <v>7.2650000000000006E-2</v>
      </c>
      <c r="P22" s="205">
        <f t="shared" si="0"/>
        <v>4949.6000000000004</v>
      </c>
      <c r="Q22" s="187"/>
    </row>
    <row r="23" spans="1:17" ht="7.5" customHeight="1" x14ac:dyDescent="0.25">
      <c r="A23" s="56"/>
      <c r="B23" s="56"/>
      <c r="C23" s="178"/>
      <c r="D23" s="56"/>
      <c r="E23" s="125"/>
      <c r="F23" s="56"/>
      <c r="G23" s="179"/>
      <c r="H23" s="56"/>
      <c r="I23" s="192"/>
      <c r="J23" s="181"/>
      <c r="K23" s="182"/>
      <c r="L23" s="184"/>
      <c r="M23" s="175"/>
      <c r="N23" s="185"/>
      <c r="O23" s="186"/>
      <c r="P23" s="187"/>
      <c r="Q23" s="187"/>
    </row>
    <row r="24" spans="1:17" x14ac:dyDescent="0.25">
      <c r="A24" s="188" t="s">
        <v>95</v>
      </c>
      <c r="B24" s="56"/>
      <c r="C24" s="206"/>
      <c r="D24" s="56"/>
      <c r="E24" s="125"/>
      <c r="F24" s="56"/>
      <c r="G24" s="179"/>
      <c r="H24" s="56"/>
      <c r="I24" s="195">
        <f>SUM(I25:I45)</f>
        <v>1595900</v>
      </c>
      <c r="J24" s="181"/>
      <c r="K24" s="182"/>
      <c r="L24" s="184"/>
      <c r="M24" s="175"/>
      <c r="N24" s="185"/>
      <c r="O24" s="207" t="s">
        <v>96</v>
      </c>
      <c r="P24" s="208">
        <f>SUM(P25:P45)</f>
        <v>212906.22326884753</v>
      </c>
      <c r="Q24" s="208"/>
    </row>
    <row r="25" spans="1:17" x14ac:dyDescent="0.25">
      <c r="A25" s="55" t="s">
        <v>120</v>
      </c>
      <c r="B25" s="56"/>
      <c r="C25" s="209">
        <v>3</v>
      </c>
      <c r="D25" s="56"/>
      <c r="E25" s="210" t="s">
        <v>91</v>
      </c>
      <c r="F25" s="56"/>
      <c r="G25" s="191">
        <v>47400</v>
      </c>
      <c r="H25" s="301"/>
      <c r="I25" s="196">
        <f t="shared" ref="I25:I45" si="1">C25*G25</f>
        <v>142200</v>
      </c>
      <c r="J25" s="181"/>
      <c r="K25" s="182">
        <v>25</v>
      </c>
      <c r="L25" s="183">
        <f>0.1*G25</f>
        <v>4740</v>
      </c>
      <c r="M25" s="184">
        <f>L25*C25</f>
        <v>14220</v>
      </c>
      <c r="N25" s="185">
        <v>0.06</v>
      </c>
      <c r="O25" s="186">
        <v>7.8226718212273949E-2</v>
      </c>
      <c r="P25" s="187">
        <f>O25*(I25-M25)+(N25*M25)</f>
        <v>10864.65539680682</v>
      </c>
      <c r="Q25" s="187"/>
    </row>
    <row r="26" spans="1:17" x14ac:dyDescent="0.25">
      <c r="A26" s="55" t="s">
        <v>97</v>
      </c>
      <c r="B26" s="56"/>
      <c r="C26" s="209">
        <v>1</v>
      </c>
      <c r="D26" s="56"/>
      <c r="E26" s="210" t="s">
        <v>91</v>
      </c>
      <c r="F26" s="56"/>
      <c r="G26" s="191">
        <v>41200</v>
      </c>
      <c r="H26" s="301"/>
      <c r="I26" s="196">
        <f t="shared" si="1"/>
        <v>41200</v>
      </c>
      <c r="J26" s="181"/>
      <c r="K26" s="182">
        <v>8</v>
      </c>
      <c r="L26" s="183">
        <f t="shared" ref="L26:L45" si="2">0.1*G26</f>
        <v>4120</v>
      </c>
      <c r="M26" s="184">
        <f t="shared" ref="M26:M45" si="3">L26*C26</f>
        <v>4120</v>
      </c>
      <c r="N26" s="185">
        <v>0.06</v>
      </c>
      <c r="O26" s="186">
        <v>0.161</v>
      </c>
      <c r="P26" s="187">
        <f t="shared" ref="P26:P45" si="4">O26*(I26-M26)+(N26*M26)</f>
        <v>6217.08</v>
      </c>
      <c r="Q26" s="187"/>
    </row>
    <row r="27" spans="1:17" x14ac:dyDescent="0.25">
      <c r="A27" s="55" t="s">
        <v>98</v>
      </c>
      <c r="B27" s="56"/>
      <c r="C27" s="209">
        <v>2</v>
      </c>
      <c r="D27" s="56"/>
      <c r="E27" s="210" t="s">
        <v>91</v>
      </c>
      <c r="F27" s="56"/>
      <c r="G27" s="191">
        <v>20600</v>
      </c>
      <c r="H27" s="301"/>
      <c r="I27" s="196">
        <f t="shared" si="1"/>
        <v>41200</v>
      </c>
      <c r="J27" s="181"/>
      <c r="K27" s="182">
        <v>8</v>
      </c>
      <c r="L27" s="183">
        <f t="shared" si="2"/>
        <v>2060</v>
      </c>
      <c r="M27" s="184">
        <f t="shared" si="3"/>
        <v>4120</v>
      </c>
      <c r="N27" s="185">
        <v>0.06</v>
      </c>
      <c r="O27" s="186">
        <v>0.161</v>
      </c>
      <c r="P27" s="187">
        <f t="shared" si="4"/>
        <v>6217.08</v>
      </c>
      <c r="Q27" s="187"/>
    </row>
    <row r="28" spans="1:17" x14ac:dyDescent="0.25">
      <c r="A28" s="55" t="s">
        <v>121</v>
      </c>
      <c r="B28" s="56"/>
      <c r="C28" s="209">
        <v>6</v>
      </c>
      <c r="D28" s="56"/>
      <c r="E28" s="210" t="s">
        <v>91</v>
      </c>
      <c r="F28" s="56"/>
      <c r="G28" s="191">
        <v>6300</v>
      </c>
      <c r="H28" s="301"/>
      <c r="I28" s="196">
        <f t="shared" si="1"/>
        <v>37800</v>
      </c>
      <c r="J28" s="181"/>
      <c r="K28" s="182">
        <v>10</v>
      </c>
      <c r="L28" s="183">
        <f t="shared" si="2"/>
        <v>630</v>
      </c>
      <c r="M28" s="184">
        <f t="shared" si="3"/>
        <v>3780</v>
      </c>
      <c r="N28" s="185">
        <v>0.06</v>
      </c>
      <c r="O28" s="186">
        <v>0.13589999999999999</v>
      </c>
      <c r="P28" s="187">
        <f>O28*(I28-M28)+(N28*M28)</f>
        <v>4850.1180000000004</v>
      </c>
      <c r="Q28" s="187"/>
    </row>
    <row r="29" spans="1:17" x14ac:dyDescent="0.25">
      <c r="A29" s="55" t="s">
        <v>99</v>
      </c>
      <c r="B29" s="56"/>
      <c r="C29" s="211">
        <v>3</v>
      </c>
      <c r="D29" s="56"/>
      <c r="E29" s="210" t="s">
        <v>91</v>
      </c>
      <c r="F29" s="56"/>
      <c r="G29" s="191">
        <v>61700</v>
      </c>
      <c r="H29" s="301"/>
      <c r="I29" s="196">
        <f t="shared" si="1"/>
        <v>185100</v>
      </c>
      <c r="J29" s="181"/>
      <c r="K29" s="182">
        <v>10</v>
      </c>
      <c r="L29" s="183">
        <f t="shared" si="2"/>
        <v>6170</v>
      </c>
      <c r="M29" s="184">
        <f t="shared" si="3"/>
        <v>18510</v>
      </c>
      <c r="N29" s="185">
        <v>0.06</v>
      </c>
      <c r="O29" s="186">
        <v>0.13589999999999999</v>
      </c>
      <c r="P29" s="187">
        <f t="shared" si="4"/>
        <v>23750.180999999997</v>
      </c>
      <c r="Q29" s="187"/>
    </row>
    <row r="30" spans="1:17" x14ac:dyDescent="0.25">
      <c r="A30" s="212" t="s">
        <v>122</v>
      </c>
      <c r="B30" s="56"/>
      <c r="C30" s="209">
        <v>1</v>
      </c>
      <c r="D30" s="56"/>
      <c r="E30" s="210" t="s">
        <v>91</v>
      </c>
      <c r="F30" s="56"/>
      <c r="G30" s="191">
        <v>77400</v>
      </c>
      <c r="H30" s="301"/>
      <c r="I30" s="196">
        <f>C30*G30</f>
        <v>77400</v>
      </c>
      <c r="J30" s="181"/>
      <c r="K30" s="182">
        <v>20</v>
      </c>
      <c r="L30" s="183">
        <f>0.1*G30</f>
        <v>7740</v>
      </c>
      <c r="M30" s="184">
        <f>L30*C30</f>
        <v>7740</v>
      </c>
      <c r="N30" s="185">
        <v>0.06</v>
      </c>
      <c r="O30" s="213">
        <v>8.7184556976851402E-2</v>
      </c>
      <c r="P30" s="187">
        <f>O30*(I30-M30)+(N30*M30)</f>
        <v>6537.6762390074682</v>
      </c>
      <c r="Q30" s="187"/>
    </row>
    <row r="31" spans="1:17" x14ac:dyDescent="0.25">
      <c r="A31" s="212" t="s">
        <v>123</v>
      </c>
      <c r="B31" s="56"/>
      <c r="C31" s="209">
        <v>1</v>
      </c>
      <c r="D31" s="56"/>
      <c r="E31" s="210" t="s">
        <v>91</v>
      </c>
      <c r="F31" s="56"/>
      <c r="G31" s="191">
        <v>61700</v>
      </c>
      <c r="H31" s="301"/>
      <c r="I31" s="196">
        <f>C31*G31</f>
        <v>61700</v>
      </c>
      <c r="J31" s="181"/>
      <c r="K31" s="182">
        <v>20</v>
      </c>
      <c r="L31" s="183">
        <f>0.1*G31</f>
        <v>6170</v>
      </c>
      <c r="M31" s="184">
        <f>L31*C31</f>
        <v>6170</v>
      </c>
      <c r="N31" s="185">
        <v>0.06</v>
      </c>
      <c r="O31" s="213">
        <v>8.7184556976851402E-2</v>
      </c>
      <c r="P31" s="187">
        <f>O31*(I31-M31)+(N31*M31)</f>
        <v>5211.5584489245584</v>
      </c>
      <c r="Q31" s="187"/>
    </row>
    <row r="32" spans="1:17" x14ac:dyDescent="0.25">
      <c r="A32" s="212" t="s">
        <v>100</v>
      </c>
      <c r="B32" s="56"/>
      <c r="C32" s="209">
        <v>1</v>
      </c>
      <c r="D32" s="56"/>
      <c r="E32" s="210" t="s">
        <v>91</v>
      </c>
      <c r="F32" s="56"/>
      <c r="G32" s="191">
        <v>48600</v>
      </c>
      <c r="H32" s="301"/>
      <c r="I32" s="196">
        <f>C32*G32</f>
        <v>48600</v>
      </c>
      <c r="J32" s="181"/>
      <c r="K32" s="182">
        <v>20</v>
      </c>
      <c r="L32" s="183">
        <f>0.1*G32</f>
        <v>4860</v>
      </c>
      <c r="M32" s="184">
        <f>L32*C32</f>
        <v>4860</v>
      </c>
      <c r="N32" s="185">
        <v>0.06</v>
      </c>
      <c r="O32" s="213">
        <v>8.7184556976851402E-2</v>
      </c>
      <c r="P32" s="187">
        <f>O32*(I32-M32)+(N32*M32)</f>
        <v>4105.0525221674807</v>
      </c>
      <c r="Q32" s="187"/>
    </row>
    <row r="33" spans="1:17" x14ac:dyDescent="0.25">
      <c r="A33" s="212" t="s">
        <v>124</v>
      </c>
      <c r="B33" s="56"/>
      <c r="C33" s="209">
        <v>1</v>
      </c>
      <c r="D33" s="56"/>
      <c r="E33" s="210" t="s">
        <v>91</v>
      </c>
      <c r="F33" s="56"/>
      <c r="G33" s="191">
        <v>39200</v>
      </c>
      <c r="H33" s="301"/>
      <c r="I33" s="196">
        <f t="shared" si="1"/>
        <v>39200</v>
      </c>
      <c r="J33" s="181"/>
      <c r="K33" s="182">
        <v>20</v>
      </c>
      <c r="L33" s="183">
        <f t="shared" si="2"/>
        <v>3920</v>
      </c>
      <c r="M33" s="184">
        <f t="shared" si="3"/>
        <v>3920</v>
      </c>
      <c r="N33" s="185">
        <v>0.06</v>
      </c>
      <c r="O33" s="213">
        <v>8.7184556976851402E-2</v>
      </c>
      <c r="P33" s="187">
        <f t="shared" si="4"/>
        <v>3311.0711701433174</v>
      </c>
      <c r="Q33" s="187"/>
    </row>
    <row r="34" spans="1:17" x14ac:dyDescent="0.25">
      <c r="A34" s="212" t="s">
        <v>126</v>
      </c>
      <c r="B34" s="56"/>
      <c r="C34" s="209">
        <v>1</v>
      </c>
      <c r="D34" s="56"/>
      <c r="E34" s="210" t="s">
        <v>91</v>
      </c>
      <c r="F34" s="56"/>
      <c r="G34" s="191">
        <v>32400</v>
      </c>
      <c r="H34" s="301"/>
      <c r="I34" s="196">
        <f t="shared" si="1"/>
        <v>32400</v>
      </c>
      <c r="J34" s="181"/>
      <c r="K34" s="182">
        <v>20</v>
      </c>
      <c r="L34" s="183">
        <f t="shared" si="2"/>
        <v>3240</v>
      </c>
      <c r="M34" s="184">
        <f t="shared" si="3"/>
        <v>3240</v>
      </c>
      <c r="N34" s="185">
        <v>0.06</v>
      </c>
      <c r="O34" s="213">
        <v>8.7184556976851402E-2</v>
      </c>
      <c r="P34" s="187">
        <f t="shared" si="4"/>
        <v>2736.7016814449871</v>
      </c>
      <c r="Q34" s="187"/>
    </row>
    <row r="35" spans="1:17" x14ac:dyDescent="0.25">
      <c r="A35" s="212" t="s">
        <v>125</v>
      </c>
      <c r="B35" s="56"/>
      <c r="C35" s="209">
        <v>1</v>
      </c>
      <c r="D35" s="56"/>
      <c r="E35" s="210" t="s">
        <v>91</v>
      </c>
      <c r="F35" s="56"/>
      <c r="G35" s="191">
        <v>24600</v>
      </c>
      <c r="H35" s="301"/>
      <c r="I35" s="196">
        <f>C35*G35</f>
        <v>24600</v>
      </c>
      <c r="J35" s="181"/>
      <c r="K35" s="182">
        <v>20</v>
      </c>
      <c r="L35" s="183">
        <f>0.1*G35</f>
        <v>2460</v>
      </c>
      <c r="M35" s="184">
        <f>L35*C35</f>
        <v>2460</v>
      </c>
      <c r="N35" s="185">
        <v>0.06</v>
      </c>
      <c r="O35" s="213">
        <v>8.7184556976851402E-2</v>
      </c>
      <c r="P35" s="187">
        <f>O35*(I35-M35)+(N35*M35)</f>
        <v>2077.8660914674902</v>
      </c>
      <c r="Q35" s="187"/>
    </row>
    <row r="36" spans="1:17" x14ac:dyDescent="0.25">
      <c r="A36" s="212" t="s">
        <v>101</v>
      </c>
      <c r="B36" s="56"/>
      <c r="C36" s="211">
        <v>1</v>
      </c>
      <c r="D36" s="56"/>
      <c r="E36" s="210" t="s">
        <v>91</v>
      </c>
      <c r="F36" s="56"/>
      <c r="G36" s="191">
        <v>36900</v>
      </c>
      <c r="H36" s="301"/>
      <c r="I36" s="196">
        <f t="shared" si="1"/>
        <v>36900</v>
      </c>
      <c r="J36" s="181"/>
      <c r="K36" s="182">
        <v>10</v>
      </c>
      <c r="L36" s="183">
        <f t="shared" si="2"/>
        <v>3690</v>
      </c>
      <c r="M36" s="184">
        <f t="shared" si="3"/>
        <v>3690</v>
      </c>
      <c r="N36" s="185">
        <v>0.06</v>
      </c>
      <c r="O36" s="186">
        <v>0.13589999999999999</v>
      </c>
      <c r="P36" s="187">
        <f t="shared" si="4"/>
        <v>4734.6389999999992</v>
      </c>
      <c r="Q36" s="187"/>
    </row>
    <row r="37" spans="1:17" x14ac:dyDescent="0.25">
      <c r="A37" s="55" t="s">
        <v>102</v>
      </c>
      <c r="B37" s="56"/>
      <c r="C37" s="211">
        <v>4</v>
      </c>
      <c r="D37" s="56"/>
      <c r="E37" s="210" t="s">
        <v>91</v>
      </c>
      <c r="F37" s="56"/>
      <c r="G37" s="191">
        <v>78000</v>
      </c>
      <c r="H37" s="301"/>
      <c r="I37" s="196">
        <f t="shared" si="1"/>
        <v>312000</v>
      </c>
      <c r="J37" s="181"/>
      <c r="K37" s="182">
        <v>10</v>
      </c>
      <c r="L37" s="183">
        <f t="shared" si="2"/>
        <v>7800</v>
      </c>
      <c r="M37" s="184">
        <f t="shared" si="3"/>
        <v>31200</v>
      </c>
      <c r="N37" s="185">
        <v>0.06</v>
      </c>
      <c r="O37" s="186">
        <v>0.13589999999999999</v>
      </c>
      <c r="P37" s="187">
        <f t="shared" si="4"/>
        <v>40032.720000000001</v>
      </c>
      <c r="Q37" s="187"/>
    </row>
    <row r="38" spans="1:17" x14ac:dyDescent="0.25">
      <c r="A38" s="55" t="s">
        <v>103</v>
      </c>
      <c r="B38" s="56"/>
      <c r="C38" s="211">
        <v>1</v>
      </c>
      <c r="D38" s="56"/>
      <c r="E38" s="210" t="s">
        <v>91</v>
      </c>
      <c r="F38" s="56"/>
      <c r="G38" s="191">
        <v>36900</v>
      </c>
      <c r="H38" s="301"/>
      <c r="I38" s="196">
        <f t="shared" si="1"/>
        <v>36900</v>
      </c>
      <c r="J38" s="181"/>
      <c r="K38" s="182">
        <v>3</v>
      </c>
      <c r="L38" s="183">
        <f t="shared" si="2"/>
        <v>3690</v>
      </c>
      <c r="M38" s="184">
        <f t="shared" si="3"/>
        <v>3690</v>
      </c>
      <c r="N38" s="185">
        <v>0.06</v>
      </c>
      <c r="O38" s="186">
        <v>0.374109812790551</v>
      </c>
      <c r="P38" s="187">
        <f t="shared" si="4"/>
        <v>12645.586882774198</v>
      </c>
      <c r="Q38" s="187"/>
    </row>
    <row r="39" spans="1:17" x14ac:dyDescent="0.25">
      <c r="A39" s="55" t="s">
        <v>104</v>
      </c>
      <c r="B39" s="56"/>
      <c r="C39" s="209">
        <v>1</v>
      </c>
      <c r="D39" s="56"/>
      <c r="E39" s="210" t="s">
        <v>91</v>
      </c>
      <c r="F39" s="56"/>
      <c r="G39" s="191">
        <v>52700</v>
      </c>
      <c r="H39" s="301"/>
      <c r="I39" s="196">
        <f t="shared" si="1"/>
        <v>52700</v>
      </c>
      <c r="J39" s="181"/>
      <c r="K39" s="182">
        <v>3</v>
      </c>
      <c r="L39" s="183">
        <f t="shared" si="2"/>
        <v>5270</v>
      </c>
      <c r="M39" s="184">
        <f t="shared" si="3"/>
        <v>5270</v>
      </c>
      <c r="N39" s="185">
        <v>0.06</v>
      </c>
      <c r="O39" s="186">
        <v>0.374109812790551</v>
      </c>
      <c r="P39" s="187">
        <f t="shared" si="4"/>
        <v>18060.228420655836</v>
      </c>
      <c r="Q39" s="187"/>
    </row>
    <row r="40" spans="1:17" x14ac:dyDescent="0.25">
      <c r="A40" s="55" t="s">
        <v>105</v>
      </c>
      <c r="B40" s="56"/>
      <c r="C40" s="209">
        <v>3</v>
      </c>
      <c r="D40" s="56"/>
      <c r="E40" s="210" t="s">
        <v>91</v>
      </c>
      <c r="F40" s="56"/>
      <c r="G40" s="191">
        <v>97800</v>
      </c>
      <c r="H40" s="301"/>
      <c r="I40" s="196">
        <f t="shared" si="1"/>
        <v>293400</v>
      </c>
      <c r="J40" s="181"/>
      <c r="K40" s="182">
        <v>2</v>
      </c>
      <c r="L40" s="183">
        <f>0.1*G40</f>
        <v>9780</v>
      </c>
      <c r="M40" s="184">
        <f>L40*C40</f>
        <v>29340</v>
      </c>
      <c r="N40" s="185">
        <v>0.06</v>
      </c>
      <c r="O40" s="186">
        <v>0.161</v>
      </c>
      <c r="P40" s="187">
        <f t="shared" si="4"/>
        <v>44274.060000000005</v>
      </c>
      <c r="Q40" s="187"/>
    </row>
    <row r="41" spans="1:17" x14ac:dyDescent="0.25">
      <c r="A41" s="55" t="s">
        <v>106</v>
      </c>
      <c r="B41" s="56"/>
      <c r="C41" s="211">
        <v>1</v>
      </c>
      <c r="D41" s="56"/>
      <c r="E41" s="210" t="s">
        <v>91</v>
      </c>
      <c r="F41" s="56"/>
      <c r="G41" s="191">
        <v>16700</v>
      </c>
      <c r="H41" s="301"/>
      <c r="I41" s="196">
        <f t="shared" si="1"/>
        <v>16700</v>
      </c>
      <c r="J41" s="181"/>
      <c r="K41" s="182">
        <v>20</v>
      </c>
      <c r="L41" s="183">
        <f t="shared" si="2"/>
        <v>1670</v>
      </c>
      <c r="M41" s="184">
        <f t="shared" si="3"/>
        <v>1670</v>
      </c>
      <c r="N41" s="185">
        <v>0.06</v>
      </c>
      <c r="O41" s="213">
        <v>8.7184556976851402E-2</v>
      </c>
      <c r="P41" s="187">
        <f t="shared" si="4"/>
        <v>1410.5838913620767</v>
      </c>
      <c r="Q41" s="187"/>
    </row>
    <row r="42" spans="1:17" x14ac:dyDescent="0.25">
      <c r="A42" s="55" t="s">
        <v>107</v>
      </c>
      <c r="B42" s="56"/>
      <c r="C42" s="209">
        <v>1</v>
      </c>
      <c r="D42" s="56"/>
      <c r="E42" s="210" t="s">
        <v>91</v>
      </c>
      <c r="F42" s="56"/>
      <c r="G42" s="191">
        <v>3200</v>
      </c>
      <c r="H42" s="301"/>
      <c r="I42" s="196">
        <f>C42*G42</f>
        <v>3200</v>
      </c>
      <c r="J42" s="181"/>
      <c r="K42" s="182">
        <v>20</v>
      </c>
      <c r="L42" s="183">
        <f>0.1*G42</f>
        <v>320</v>
      </c>
      <c r="M42" s="184">
        <f>L42*C42</f>
        <v>320</v>
      </c>
      <c r="N42" s="185">
        <v>0.06</v>
      </c>
      <c r="O42" s="213">
        <v>8.7184556976851402E-2</v>
      </c>
      <c r="P42" s="187">
        <f t="shared" si="4"/>
        <v>270.29152409333204</v>
      </c>
      <c r="Q42" s="187"/>
    </row>
    <row r="43" spans="1:17" x14ac:dyDescent="0.25">
      <c r="A43" s="55" t="s">
        <v>108</v>
      </c>
      <c r="B43" s="56"/>
      <c r="C43" s="209">
        <v>1</v>
      </c>
      <c r="D43" s="56"/>
      <c r="E43" s="210" t="s">
        <v>91</v>
      </c>
      <c r="F43" s="56"/>
      <c r="G43" s="191">
        <v>9600</v>
      </c>
      <c r="H43" s="301"/>
      <c r="I43" s="196">
        <f>C43*G43</f>
        <v>9600</v>
      </c>
      <c r="J43" s="181"/>
      <c r="K43" s="182">
        <v>10</v>
      </c>
      <c r="L43" s="183">
        <f>0.1*G43</f>
        <v>960</v>
      </c>
      <c r="M43" s="184">
        <f>L43*C43</f>
        <v>960</v>
      </c>
      <c r="N43" s="185">
        <v>0.06</v>
      </c>
      <c r="O43" s="186">
        <v>0.13589999999999999</v>
      </c>
      <c r="P43" s="187">
        <f t="shared" si="4"/>
        <v>1231.7759999999998</v>
      </c>
      <c r="Q43" s="187"/>
    </row>
    <row r="44" spans="1:17" x14ac:dyDescent="0.25">
      <c r="A44" s="55" t="s">
        <v>109</v>
      </c>
      <c r="B44" s="56"/>
      <c r="C44" s="209">
        <v>2</v>
      </c>
      <c r="D44" s="56"/>
      <c r="E44" s="210" t="s">
        <v>91</v>
      </c>
      <c r="F44" s="56"/>
      <c r="G44" s="191">
        <v>25200</v>
      </c>
      <c r="H44" s="301"/>
      <c r="I44" s="196">
        <f>C44*G44</f>
        <v>50400</v>
      </c>
      <c r="J44" s="181"/>
      <c r="K44" s="182">
        <v>8</v>
      </c>
      <c r="L44" s="183">
        <f>0.1*G44</f>
        <v>2520</v>
      </c>
      <c r="M44" s="184">
        <f>L44*C44</f>
        <v>5040</v>
      </c>
      <c r="N44" s="185">
        <v>0.06</v>
      </c>
      <c r="O44" s="186">
        <v>0.161</v>
      </c>
      <c r="P44" s="187">
        <f t="shared" si="4"/>
        <v>7605.36</v>
      </c>
      <c r="Q44" s="187"/>
    </row>
    <row r="45" spans="1:17" x14ac:dyDescent="0.25">
      <c r="A45" s="55" t="s">
        <v>110</v>
      </c>
      <c r="B45" s="56"/>
      <c r="C45" s="209">
        <v>1</v>
      </c>
      <c r="D45" s="56"/>
      <c r="E45" s="210" t="s">
        <v>91</v>
      </c>
      <c r="F45" s="56"/>
      <c r="G45" s="191">
        <v>52700</v>
      </c>
      <c r="H45" s="301"/>
      <c r="I45" s="196">
        <f t="shared" si="1"/>
        <v>52700</v>
      </c>
      <c r="J45" s="181"/>
      <c r="K45" s="182">
        <v>10</v>
      </c>
      <c r="L45" s="183">
        <f t="shared" si="2"/>
        <v>5270</v>
      </c>
      <c r="M45" s="184">
        <f t="shared" si="3"/>
        <v>5270</v>
      </c>
      <c r="N45" s="185">
        <v>0.06</v>
      </c>
      <c r="O45" s="186">
        <v>0.13589999999999999</v>
      </c>
      <c r="P45" s="187">
        <f t="shared" si="4"/>
        <v>6761.9369999999999</v>
      </c>
      <c r="Q45" s="187"/>
    </row>
    <row r="46" spans="1:17" ht="10.5" customHeight="1" x14ac:dyDescent="0.25">
      <c r="A46" s="56"/>
      <c r="B46" s="56"/>
      <c r="C46" s="178"/>
      <c r="D46" s="56"/>
      <c r="E46" s="125"/>
      <c r="F46" s="56"/>
      <c r="G46" s="56"/>
      <c r="H46" s="56"/>
      <c r="I46" s="196"/>
      <c r="J46" s="181"/>
      <c r="K46" s="214"/>
      <c r="L46" s="215"/>
      <c r="M46" s="216"/>
      <c r="N46" s="185"/>
      <c r="O46" s="186"/>
      <c r="P46" s="187"/>
      <c r="Q46" s="187"/>
    </row>
    <row r="47" spans="1:17" x14ac:dyDescent="0.25">
      <c r="A47" s="217" t="s">
        <v>111</v>
      </c>
      <c r="B47" s="126"/>
      <c r="C47" s="218"/>
      <c r="D47" s="126"/>
      <c r="E47" s="219"/>
      <c r="F47" s="126"/>
      <c r="G47" s="220"/>
      <c r="H47" s="56"/>
      <c r="I47" s="195">
        <f>SUM(G48:G50)</f>
        <v>1035</v>
      </c>
      <c r="J47" s="181"/>
      <c r="K47" s="214"/>
      <c r="L47" s="215"/>
      <c r="M47" s="216"/>
      <c r="N47" s="185"/>
      <c r="O47" s="186"/>
      <c r="P47" s="187"/>
      <c r="Q47" s="187"/>
    </row>
    <row r="48" spans="1:17" x14ac:dyDescent="0.25">
      <c r="A48" s="55" t="s">
        <v>132</v>
      </c>
      <c r="B48" s="56"/>
      <c r="C48" s="209">
        <v>1</v>
      </c>
      <c r="D48" s="56"/>
      <c r="E48" s="210" t="s">
        <v>91</v>
      </c>
      <c r="F48" s="56"/>
      <c r="G48" s="191"/>
      <c r="H48" s="56"/>
      <c r="I48" s="196">
        <f>C48*G48</f>
        <v>0</v>
      </c>
      <c r="J48" s="181"/>
      <c r="K48" s="182"/>
      <c r="L48" s="183"/>
      <c r="M48" s="184"/>
      <c r="N48" s="185"/>
      <c r="O48" s="186"/>
      <c r="P48" s="187"/>
      <c r="Q48" s="187"/>
    </row>
    <row r="49" spans="1:17" x14ac:dyDescent="0.25">
      <c r="A49" s="55" t="s">
        <v>112</v>
      </c>
      <c r="B49" s="56"/>
      <c r="C49" s="209">
        <v>1</v>
      </c>
      <c r="D49" s="56"/>
      <c r="E49" s="210" t="s">
        <v>91</v>
      </c>
      <c r="F49" s="56"/>
      <c r="G49" s="191">
        <v>1035</v>
      </c>
      <c r="H49" s="56"/>
      <c r="I49" s="196">
        <f>C49*G49</f>
        <v>1035</v>
      </c>
      <c r="J49" s="181"/>
      <c r="K49" s="182"/>
      <c r="L49" s="183"/>
      <c r="M49" s="184"/>
      <c r="N49" s="185"/>
      <c r="O49" s="186"/>
      <c r="P49" s="187"/>
      <c r="Q49" s="187"/>
    </row>
    <row r="50" spans="1:17" ht="10.5" customHeight="1" x14ac:dyDescent="0.25">
      <c r="A50" s="56"/>
      <c r="B50" s="56"/>
      <c r="C50" s="178"/>
      <c r="D50" s="56"/>
      <c r="E50" s="125"/>
      <c r="F50" s="56"/>
      <c r="G50" s="56"/>
      <c r="H50" s="56"/>
      <c r="I50" s="196"/>
      <c r="J50" s="181"/>
      <c r="K50" s="214"/>
      <c r="L50" s="215"/>
      <c r="M50" s="216"/>
      <c r="N50" s="185"/>
      <c r="O50" s="186"/>
      <c r="P50" s="187"/>
      <c r="Q50" s="187"/>
    </row>
    <row r="51" spans="1:17" x14ac:dyDescent="0.25">
      <c r="A51" s="56" t="s">
        <v>113</v>
      </c>
      <c r="B51" s="56"/>
      <c r="C51" s="178"/>
      <c r="D51" s="56"/>
      <c r="E51" s="125"/>
      <c r="F51" s="56"/>
      <c r="G51" s="56"/>
      <c r="H51" s="56"/>
      <c r="I51" s="196">
        <f>SUM(I8:I50)-(I9+I13+I19+I24+I47)</f>
        <v>3666735</v>
      </c>
      <c r="J51" s="181"/>
      <c r="K51" s="221"/>
      <c r="L51" s="222">
        <f>SUM(L8:L50)</f>
        <v>92080</v>
      </c>
      <c r="M51" s="223">
        <f>(I51-L51)/2</f>
        <v>1787327.5</v>
      </c>
      <c r="N51" s="224"/>
      <c r="O51" s="225"/>
      <c r="P51" s="226"/>
      <c r="Q51" s="226"/>
    </row>
    <row r="52" spans="1:17" x14ac:dyDescent="0.25">
      <c r="A52" s="56" t="s">
        <v>114</v>
      </c>
      <c r="B52" s="56"/>
      <c r="C52" s="178"/>
      <c r="D52" s="56"/>
      <c r="E52" s="125"/>
      <c r="F52" s="56"/>
      <c r="G52" s="56"/>
      <c r="H52" s="56"/>
      <c r="I52" s="260">
        <f>I51/10000</f>
        <v>366.67349999999999</v>
      </c>
      <c r="J52" s="181"/>
      <c r="K52" s="221"/>
      <c r="L52" s="222"/>
      <c r="M52" s="261">
        <f>M51/10000</f>
        <v>178.73275000000001</v>
      </c>
      <c r="N52" s="224"/>
      <c r="O52" s="225"/>
      <c r="P52" s="226"/>
      <c r="Q52" s="226"/>
    </row>
    <row r="53" spans="1:17" ht="10.5" customHeight="1" x14ac:dyDescent="0.25">
      <c r="A53" s="56"/>
      <c r="B53" s="56"/>
      <c r="C53" s="178"/>
      <c r="D53" s="56"/>
      <c r="E53" s="125"/>
      <c r="F53" s="56"/>
      <c r="G53" s="56"/>
      <c r="H53" s="56"/>
      <c r="I53" s="196"/>
      <c r="J53" s="181"/>
      <c r="K53" s="214"/>
      <c r="L53" s="215"/>
      <c r="M53" s="216"/>
      <c r="N53" s="185"/>
      <c r="O53" s="186"/>
      <c r="P53" s="187"/>
      <c r="Q53" s="187"/>
    </row>
    <row r="54" spans="1:17" x14ac:dyDescent="0.25">
      <c r="A54" s="56" t="s">
        <v>115</v>
      </c>
      <c r="B54" s="56"/>
      <c r="C54" s="178"/>
      <c r="D54" s="56"/>
      <c r="E54" s="125"/>
      <c r="F54" s="56"/>
      <c r="G54" s="56"/>
      <c r="H54" s="56"/>
      <c r="I54" s="196">
        <f>M51</f>
        <v>1787327.5</v>
      </c>
      <c r="J54" s="181"/>
      <c r="K54" s="214"/>
      <c r="L54" s="215"/>
      <c r="M54" s="216"/>
      <c r="N54" s="185"/>
      <c r="O54" s="186"/>
      <c r="P54" s="187"/>
      <c r="Q54" s="187"/>
    </row>
    <row r="55" spans="1:17" x14ac:dyDescent="0.25">
      <c r="A55" s="56" t="s">
        <v>116</v>
      </c>
      <c r="B55" s="56"/>
      <c r="C55" s="178"/>
      <c r="D55" s="56"/>
      <c r="E55" s="125"/>
      <c r="F55" s="56"/>
      <c r="G55" s="56"/>
      <c r="H55" s="56"/>
      <c r="I55" s="196">
        <f>M52</f>
        <v>178.73275000000001</v>
      </c>
      <c r="J55" s="181"/>
      <c r="K55" s="214"/>
      <c r="L55" s="215"/>
      <c r="M55" s="216"/>
      <c r="N55" s="185"/>
      <c r="O55" s="186"/>
      <c r="P55" s="187"/>
      <c r="Q55" s="187"/>
    </row>
    <row r="56" spans="1:17" ht="10.5" customHeight="1" x14ac:dyDescent="0.25">
      <c r="A56" s="56"/>
      <c r="B56" s="56"/>
      <c r="C56" s="178"/>
      <c r="D56" s="56"/>
      <c r="E56" s="125"/>
      <c r="F56" s="56"/>
      <c r="G56" s="56"/>
      <c r="H56" s="56"/>
      <c r="I56" s="196"/>
      <c r="J56" s="181"/>
      <c r="K56" s="214"/>
      <c r="L56" s="215"/>
      <c r="M56" s="216"/>
      <c r="N56" s="185"/>
      <c r="O56" s="186"/>
      <c r="P56" s="187"/>
      <c r="Q56" s="187"/>
    </row>
    <row r="57" spans="1:17" x14ac:dyDescent="0.25">
      <c r="A57" s="56" t="s">
        <v>117</v>
      </c>
      <c r="B57" s="56"/>
      <c r="C57" s="227"/>
      <c r="D57" s="56"/>
      <c r="E57" s="125"/>
      <c r="F57" s="56"/>
      <c r="G57" s="56"/>
      <c r="H57" s="56"/>
      <c r="I57" s="196">
        <f>P57</f>
        <v>340773.64609573805</v>
      </c>
      <c r="J57" s="181"/>
      <c r="K57" s="214"/>
      <c r="L57" s="215"/>
      <c r="M57" s="216"/>
      <c r="N57" s="185"/>
      <c r="O57" s="186"/>
      <c r="P57" s="187">
        <f>SUM($P$8:$P$52)-$P$24</f>
        <v>340773.64609573805</v>
      </c>
      <c r="Q57" s="187"/>
    </row>
    <row r="58" spans="1:17" x14ac:dyDescent="0.25">
      <c r="A58" s="56" t="s">
        <v>118</v>
      </c>
      <c r="B58" s="56"/>
      <c r="C58" s="227"/>
      <c r="D58" s="56"/>
      <c r="E58" s="125"/>
      <c r="F58" s="56"/>
      <c r="G58" s="56"/>
      <c r="H58" s="56"/>
      <c r="I58" s="196">
        <f>P58</f>
        <v>34.077364609573806</v>
      </c>
      <c r="J58" s="181"/>
      <c r="K58" s="221"/>
      <c r="L58" s="222"/>
      <c r="M58" s="223"/>
      <c r="N58" s="224"/>
      <c r="O58" s="225"/>
      <c r="P58" s="228">
        <f>$P$57/Heifers</f>
        <v>34.077364609573806</v>
      </c>
      <c r="Q58" s="187"/>
    </row>
    <row r="59" spans="1:17" x14ac:dyDescent="0.25">
      <c r="A59" s="229"/>
      <c r="B59" s="229"/>
      <c r="C59" s="230"/>
      <c r="D59" s="229"/>
      <c r="E59" s="231"/>
      <c r="F59" s="229"/>
      <c r="G59" s="229"/>
      <c r="H59" s="229"/>
      <c r="I59" s="232"/>
      <c r="J59" s="233"/>
      <c r="K59" s="234"/>
      <c r="L59" s="235"/>
      <c r="M59" s="236"/>
      <c r="N59" s="237"/>
      <c r="O59" s="238"/>
      <c r="P59" s="239"/>
      <c r="Q59" s="239"/>
    </row>
    <row r="60" spans="1:17" x14ac:dyDescent="0.25">
      <c r="A60" s="119"/>
      <c r="B60" s="119"/>
      <c r="C60" s="240"/>
      <c r="D60" s="119"/>
      <c r="E60" s="121"/>
      <c r="F60" s="119"/>
      <c r="G60" s="119"/>
      <c r="H60" s="119"/>
      <c r="I60" s="119"/>
      <c r="J60" s="119"/>
      <c r="K60" s="241"/>
      <c r="L60" s="242"/>
      <c r="M60" s="243"/>
      <c r="N60" s="244"/>
      <c r="O60" s="245"/>
      <c r="P60" s="246"/>
      <c r="Q60" s="246"/>
    </row>
    <row r="61" spans="1:17" x14ac:dyDescent="0.25">
      <c r="A61" s="119"/>
      <c r="B61" s="119"/>
      <c r="C61" s="240"/>
      <c r="D61" s="119"/>
      <c r="E61" s="121"/>
      <c r="F61" s="119"/>
      <c r="G61" s="119"/>
      <c r="H61" s="119"/>
      <c r="I61" s="119"/>
      <c r="J61" s="119"/>
      <c r="K61" s="241"/>
      <c r="L61" s="242"/>
      <c r="M61" s="243"/>
      <c r="N61" s="244"/>
      <c r="O61" s="245"/>
      <c r="P61" s="246"/>
      <c r="Q61" s="246"/>
    </row>
    <row r="62" spans="1:17" x14ac:dyDescent="0.25">
      <c r="A62" s="119"/>
      <c r="B62" s="119"/>
      <c r="C62" s="240"/>
      <c r="D62" s="119"/>
      <c r="E62" s="121"/>
      <c r="F62" s="119"/>
      <c r="G62" s="119"/>
      <c r="H62" s="119"/>
      <c r="I62" s="119"/>
      <c r="J62" s="119"/>
      <c r="K62" s="241"/>
      <c r="L62" s="242"/>
      <c r="M62" s="243"/>
      <c r="N62" s="244"/>
      <c r="O62" s="245"/>
      <c r="P62" s="246"/>
      <c r="Q62" s="246"/>
    </row>
    <row r="63" spans="1:17" x14ac:dyDescent="0.25">
      <c r="A63" s="123"/>
      <c r="B63" s="123"/>
      <c r="C63" s="240"/>
      <c r="D63" s="123"/>
      <c r="E63" s="124"/>
      <c r="F63" s="123"/>
      <c r="G63" s="123"/>
      <c r="H63" s="123"/>
      <c r="I63" s="123"/>
      <c r="J63" s="123"/>
      <c r="K63" s="247"/>
      <c r="L63" s="248"/>
      <c r="M63" s="249"/>
      <c r="N63" s="244"/>
      <c r="O63" s="250"/>
      <c r="P63" s="251"/>
      <c r="Q63" s="251"/>
    </row>
    <row r="64" spans="1:17" x14ac:dyDescent="0.25">
      <c r="A64" s="123"/>
      <c r="B64" s="123"/>
      <c r="C64" s="240"/>
      <c r="D64" s="123"/>
      <c r="E64" s="124"/>
      <c r="F64" s="123"/>
      <c r="G64" s="123"/>
      <c r="H64" s="123"/>
      <c r="I64" s="123"/>
      <c r="J64" s="123"/>
      <c r="K64" s="247"/>
      <c r="L64" s="248"/>
      <c r="M64" s="249"/>
      <c r="N64" s="244"/>
      <c r="O64" s="250"/>
      <c r="P64" s="251"/>
      <c r="Q64" s="251"/>
    </row>
    <row r="65" spans="1:17" x14ac:dyDescent="0.25">
      <c r="A65" s="123"/>
      <c r="B65" s="123"/>
      <c r="C65" s="240"/>
      <c r="D65" s="123"/>
      <c r="E65" s="124"/>
      <c r="F65" s="123"/>
      <c r="G65" s="123"/>
      <c r="H65" s="123"/>
      <c r="I65" s="123"/>
      <c r="J65" s="123"/>
      <c r="K65" s="247"/>
      <c r="L65" s="248"/>
      <c r="M65" s="249"/>
      <c r="N65" s="244"/>
      <c r="O65" s="250"/>
      <c r="P65" s="251"/>
      <c r="Q65" s="251"/>
    </row>
    <row r="66" spans="1:17" x14ac:dyDescent="0.25">
      <c r="A66" s="123"/>
      <c r="B66" s="123"/>
      <c r="C66" s="240"/>
      <c r="D66" s="123"/>
      <c r="E66" s="124"/>
      <c r="F66" s="123"/>
      <c r="G66" s="123"/>
      <c r="H66" s="123"/>
      <c r="I66" s="123"/>
      <c r="J66" s="123"/>
      <c r="K66" s="247"/>
      <c r="L66" s="248"/>
      <c r="M66" s="249"/>
      <c r="N66" s="244"/>
      <c r="O66" s="250"/>
      <c r="P66" s="251"/>
      <c r="Q66" s="251"/>
    </row>
    <row r="67" spans="1:17" x14ac:dyDescent="0.25">
      <c r="A67" s="123"/>
      <c r="B67" s="123"/>
      <c r="C67" s="240"/>
      <c r="D67" s="123"/>
      <c r="E67" s="124"/>
      <c r="F67" s="123"/>
      <c r="G67" s="123"/>
      <c r="H67" s="123"/>
      <c r="I67" s="123"/>
      <c r="J67" s="123"/>
      <c r="K67" s="247"/>
      <c r="L67" s="248"/>
      <c r="M67" s="249"/>
      <c r="N67" s="244"/>
      <c r="O67" s="250"/>
      <c r="P67" s="251"/>
      <c r="Q67" s="251"/>
    </row>
    <row r="68" spans="1:17" x14ac:dyDescent="0.25">
      <c r="A68" s="123"/>
      <c r="B68" s="123"/>
      <c r="C68" s="240"/>
      <c r="D68" s="123"/>
      <c r="E68" s="124"/>
      <c r="F68" s="123"/>
      <c r="G68" s="123"/>
      <c r="H68" s="123"/>
      <c r="I68" s="123"/>
      <c r="J68" s="123"/>
      <c r="K68" s="247"/>
      <c r="L68" s="248"/>
      <c r="M68" s="249"/>
      <c r="N68" s="244"/>
      <c r="O68" s="250"/>
      <c r="P68" s="251"/>
      <c r="Q68" s="251"/>
    </row>
  </sheetData>
  <mergeCells count="2">
    <mergeCell ref="N5:P5"/>
    <mergeCell ref="A1:I1"/>
  </mergeCells>
  <pageMargins left="0.7" right="0.7" top="0.75" bottom="0.75" header="0.3" footer="0.3"/>
  <pageSetup scale="61"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opLeftCell="A12" workbookViewId="0">
      <selection activeCell="E48" sqref="E48"/>
    </sheetView>
  </sheetViews>
  <sheetFormatPr defaultColWidth="8.85546875" defaultRowHeight="15" x14ac:dyDescent="0.25"/>
  <cols>
    <col min="1" max="1" width="16.85546875" customWidth="1"/>
    <col min="4" max="8" width="12.7109375" customWidth="1"/>
    <col min="9" max="9" width="13.85546875" bestFit="1" customWidth="1"/>
  </cols>
  <sheetData>
    <row r="1" spans="1:9" x14ac:dyDescent="0.25">
      <c r="A1" s="1" t="s">
        <v>0</v>
      </c>
      <c r="B1" s="1" t="s">
        <v>9</v>
      </c>
      <c r="C1" s="1" t="s">
        <v>12</v>
      </c>
    </row>
    <row r="2" spans="1:9" x14ac:dyDescent="0.25">
      <c r="A2" s="2" t="s">
        <v>1</v>
      </c>
      <c r="B2" s="2" t="s">
        <v>10</v>
      </c>
      <c r="C2" s="2">
        <v>235</v>
      </c>
    </row>
    <row r="3" spans="1:9" x14ac:dyDescent="0.25">
      <c r="A3" s="2" t="s">
        <v>4</v>
      </c>
      <c r="B3" s="2" t="s">
        <v>11</v>
      </c>
      <c r="C3" s="2">
        <v>250</v>
      </c>
    </row>
    <row r="4" spans="1:9" x14ac:dyDescent="0.25">
      <c r="A4" s="2" t="s">
        <v>13</v>
      </c>
      <c r="B4" s="2" t="s">
        <v>10</v>
      </c>
      <c r="C4" s="2">
        <v>47.19</v>
      </c>
    </row>
    <row r="5" spans="1:9" x14ac:dyDescent="0.25">
      <c r="A5" s="2" t="s">
        <v>8</v>
      </c>
      <c r="B5" s="2" t="s">
        <v>11</v>
      </c>
      <c r="C5" s="2">
        <v>652</v>
      </c>
    </row>
    <row r="6" spans="1:9" x14ac:dyDescent="0.25">
      <c r="A6" s="2" t="s">
        <v>5</v>
      </c>
      <c r="B6" s="2" t="s">
        <v>11</v>
      </c>
      <c r="C6" s="2">
        <v>252.2</v>
      </c>
    </row>
    <row r="7" spans="1:9" x14ac:dyDescent="0.25">
      <c r="A7" s="2" t="s">
        <v>3</v>
      </c>
      <c r="B7" s="2" t="s">
        <v>10</v>
      </c>
      <c r="C7" s="2">
        <v>18</v>
      </c>
    </row>
    <row r="8" spans="1:9" x14ac:dyDescent="0.25">
      <c r="A8" s="2" t="s">
        <v>7</v>
      </c>
      <c r="B8" s="2" t="s">
        <v>11</v>
      </c>
      <c r="C8" s="2">
        <v>10</v>
      </c>
    </row>
    <row r="9" spans="1:9" x14ac:dyDescent="0.25">
      <c r="A9" s="2" t="s">
        <v>14</v>
      </c>
      <c r="B9" s="2" t="s">
        <v>11</v>
      </c>
      <c r="C9" s="2">
        <v>6</v>
      </c>
    </row>
    <row r="10" spans="1:9" x14ac:dyDescent="0.25">
      <c r="A10" s="2" t="s">
        <v>2</v>
      </c>
      <c r="B10" s="2" t="s">
        <v>10</v>
      </c>
      <c r="C10" s="2">
        <v>55</v>
      </c>
    </row>
    <row r="11" spans="1:9" x14ac:dyDescent="0.25">
      <c r="A11" s="2" t="s">
        <v>6</v>
      </c>
      <c r="B11" s="2" t="s">
        <v>11</v>
      </c>
      <c r="C11" s="2">
        <v>16</v>
      </c>
    </row>
    <row r="12" spans="1:9" x14ac:dyDescent="0.25">
      <c r="D12" s="267"/>
      <c r="E12" s="14"/>
      <c r="F12" s="14"/>
      <c r="G12" s="14"/>
      <c r="H12" s="14"/>
      <c r="I12" s="14"/>
    </row>
    <row r="13" spans="1:9" x14ac:dyDescent="0.25">
      <c r="A13" s="3"/>
      <c r="B13" s="3"/>
      <c r="C13" s="3"/>
      <c r="D13" s="17">
        <v>8.9330469029717155E-2</v>
      </c>
      <c r="E13" s="17">
        <v>7.1070533476548514E-2</v>
      </c>
      <c r="F13" s="17">
        <v>0.26127819548872183</v>
      </c>
      <c r="G13" s="17">
        <v>0.17651271034729682</v>
      </c>
      <c r="H13" s="17">
        <v>0.40180809165771569</v>
      </c>
      <c r="I13" s="22">
        <v>1</v>
      </c>
    </row>
    <row r="14" spans="1:9" x14ac:dyDescent="0.25">
      <c r="A14" s="4" t="s">
        <v>20</v>
      </c>
      <c r="B14" s="3"/>
      <c r="C14" s="3"/>
      <c r="D14" s="3" t="s">
        <v>16</v>
      </c>
      <c r="E14" s="3" t="s">
        <v>15</v>
      </c>
      <c r="F14" s="3" t="s">
        <v>17</v>
      </c>
      <c r="G14" s="3" t="s">
        <v>18</v>
      </c>
      <c r="H14" s="3" t="s">
        <v>19</v>
      </c>
      <c r="I14" s="5" t="s">
        <v>24</v>
      </c>
    </row>
    <row r="15" spans="1:9" x14ac:dyDescent="0.25">
      <c r="A15" s="3"/>
      <c r="B15" s="3"/>
      <c r="C15" s="3"/>
      <c r="D15" s="5">
        <v>998</v>
      </c>
      <c r="E15" s="5">
        <v>794</v>
      </c>
      <c r="F15" s="5">
        <v>2919</v>
      </c>
      <c r="G15" s="5">
        <v>1972</v>
      </c>
      <c r="H15" s="5">
        <v>4489</v>
      </c>
      <c r="I15" s="16">
        <f>SUM(D15:H15)</f>
        <v>11172</v>
      </c>
    </row>
    <row r="16" spans="1:9" x14ac:dyDescent="0.25">
      <c r="A16" t="str">
        <f>A2</f>
        <v>Alfalfa hay</v>
      </c>
      <c r="D16" s="7">
        <v>4.6399999999999997</v>
      </c>
      <c r="E16" s="7">
        <v>4.5</v>
      </c>
      <c r="F16" s="7">
        <v>4.54</v>
      </c>
      <c r="G16" s="7">
        <v>5.0199999999999996</v>
      </c>
      <c r="H16" s="7">
        <v>5.38</v>
      </c>
      <c r="I16" s="7">
        <v>4.97</v>
      </c>
    </row>
    <row r="17" spans="1:9" x14ac:dyDescent="0.25">
      <c r="A17" t="str">
        <f>A10</f>
        <v>Straw</v>
      </c>
      <c r="D17" s="7"/>
      <c r="E17" s="7"/>
      <c r="F17" s="7"/>
      <c r="G17" s="7"/>
      <c r="H17" s="7"/>
      <c r="I17" s="13">
        <v>0</v>
      </c>
    </row>
    <row r="18" spans="1:9" x14ac:dyDescent="0.25">
      <c r="A18" t="str">
        <f>A7</f>
        <v>Mint Silage</v>
      </c>
      <c r="D18" s="7"/>
      <c r="E18" s="7">
        <v>2.5</v>
      </c>
      <c r="F18" s="7">
        <v>8</v>
      </c>
      <c r="G18" s="7">
        <v>15</v>
      </c>
      <c r="H18" s="7">
        <v>25</v>
      </c>
      <c r="I18" s="7">
        <v>14.96</v>
      </c>
    </row>
    <row r="19" spans="1:9" x14ac:dyDescent="0.25">
      <c r="A19" t="str">
        <f>A3</f>
        <v>Corn Distillers</v>
      </c>
      <c r="D19" s="7">
        <v>3.01</v>
      </c>
      <c r="E19" s="7">
        <v>3.52</v>
      </c>
      <c r="F19" s="7">
        <v>3.23</v>
      </c>
      <c r="G19" s="7">
        <v>1.4</v>
      </c>
      <c r="H19" s="7">
        <v>0.75</v>
      </c>
      <c r="I19" s="7">
        <v>1.91</v>
      </c>
    </row>
    <row r="20" spans="1:9" x14ac:dyDescent="0.25">
      <c r="A20" t="str">
        <f>A6</f>
        <v>Ground Corn</v>
      </c>
      <c r="D20" s="7">
        <v>2.97</v>
      </c>
      <c r="E20" s="7">
        <v>1.17</v>
      </c>
      <c r="F20" s="7"/>
      <c r="G20" s="7"/>
      <c r="H20" s="7"/>
      <c r="I20" s="7">
        <v>0.35</v>
      </c>
    </row>
    <row r="21" spans="1:9" x14ac:dyDescent="0.25">
      <c r="A21" t="str">
        <f>A11</f>
        <v>Whey</v>
      </c>
      <c r="D21" s="7"/>
      <c r="E21" s="7">
        <v>4</v>
      </c>
      <c r="F21" s="7">
        <v>4</v>
      </c>
      <c r="G21" s="7">
        <v>4</v>
      </c>
      <c r="H21" s="7">
        <v>3</v>
      </c>
      <c r="I21" s="7">
        <v>3.24</v>
      </c>
    </row>
    <row r="22" spans="1:9" x14ac:dyDescent="0.25">
      <c r="A22" t="str">
        <f>A8</f>
        <v>Potato Cake</v>
      </c>
      <c r="D22" s="7"/>
      <c r="E22" s="7"/>
      <c r="F22" s="7"/>
      <c r="G22" s="7">
        <v>6</v>
      </c>
      <c r="H22" s="7">
        <v>7.4</v>
      </c>
      <c r="I22" s="7">
        <v>4.03</v>
      </c>
    </row>
    <row r="23" spans="1:9" x14ac:dyDescent="0.25">
      <c r="A23" t="str">
        <f>A5</f>
        <v>Dry Mineral</v>
      </c>
      <c r="D23" s="7">
        <v>0.15</v>
      </c>
      <c r="E23" s="7">
        <v>0.15</v>
      </c>
      <c r="F23" s="7">
        <v>0.15</v>
      </c>
      <c r="G23" s="7">
        <v>0.18</v>
      </c>
      <c r="H23" s="7">
        <v>0.2</v>
      </c>
      <c r="I23" s="7">
        <v>0.18</v>
      </c>
    </row>
    <row r="24" spans="1:9" x14ac:dyDescent="0.25">
      <c r="A24" t="str">
        <f>A4</f>
        <v>Corn Silage</v>
      </c>
      <c r="D24" s="7">
        <v>4.41</v>
      </c>
      <c r="E24" s="7">
        <v>8.39</v>
      </c>
      <c r="F24" s="7">
        <v>16.8</v>
      </c>
      <c r="G24" s="7">
        <v>19.920000000000002</v>
      </c>
      <c r="H24" s="7">
        <v>19.62</v>
      </c>
      <c r="I24" s="7">
        <v>16.78</v>
      </c>
    </row>
    <row r="25" spans="1:9" x14ac:dyDescent="0.25">
      <c r="A25" t="str">
        <f>A9</f>
        <v>Potato Peel</v>
      </c>
      <c r="D25" s="7"/>
      <c r="E25" s="7">
        <v>4</v>
      </c>
      <c r="F25" s="7">
        <v>5</v>
      </c>
      <c r="G25" s="7">
        <v>8</v>
      </c>
      <c r="H25" s="7">
        <v>5</v>
      </c>
      <c r="I25" s="7">
        <v>5.01</v>
      </c>
    </row>
    <row r="26" spans="1:9" x14ac:dyDescent="0.25">
      <c r="A26" s="8"/>
      <c r="B26" s="8"/>
      <c r="C26" s="8"/>
      <c r="D26" s="9"/>
      <c r="E26" s="9"/>
      <c r="F26" s="9"/>
      <c r="G26" s="12"/>
      <c r="H26" s="12"/>
      <c r="I26" s="6"/>
    </row>
    <row r="27" spans="1:9" x14ac:dyDescent="0.25">
      <c r="A27" s="8" t="s">
        <v>21</v>
      </c>
      <c r="B27" s="8"/>
      <c r="C27" s="8"/>
      <c r="D27" s="9">
        <f>SUM(D16:D26)</f>
        <v>15.18</v>
      </c>
      <c r="E27" s="9">
        <f>SUM(E16:E26)</f>
        <v>28.23</v>
      </c>
      <c r="F27" s="9">
        <f>SUM(F16:F26)</f>
        <v>41.72</v>
      </c>
      <c r="G27" s="9">
        <f>SUM(G16:G25)</f>
        <v>59.519999999999996</v>
      </c>
      <c r="H27" s="9">
        <f>SUM(H16:H25)</f>
        <v>66.349999999999994</v>
      </c>
      <c r="I27" s="9">
        <f>SUM(I16:I25)</f>
        <v>51.43</v>
      </c>
    </row>
    <row r="28" spans="1:9" x14ac:dyDescent="0.25">
      <c r="A28" t="s">
        <v>22</v>
      </c>
      <c r="D28" s="7">
        <v>11.25</v>
      </c>
      <c r="E28" s="7">
        <v>13.6</v>
      </c>
      <c r="F28" s="7">
        <v>17.5</v>
      </c>
      <c r="G28" s="7">
        <v>21.4</v>
      </c>
      <c r="H28" s="7">
        <v>24.2</v>
      </c>
    </row>
    <row r="29" spans="1:9" x14ac:dyDescent="0.25">
      <c r="A29" t="s">
        <v>23</v>
      </c>
      <c r="D29" s="15">
        <f>D28/D27</f>
        <v>0.74110671936758898</v>
      </c>
      <c r="E29" s="15">
        <f>E28/E27</f>
        <v>0.48175699610343603</v>
      </c>
      <c r="F29" s="15">
        <f>F28/F27</f>
        <v>0.41946308724832215</v>
      </c>
      <c r="G29" s="15">
        <f>G28/G27</f>
        <v>0.35954301075268819</v>
      </c>
      <c r="H29" s="15">
        <f>H28/H27</f>
        <v>0.36473247927656371</v>
      </c>
    </row>
    <row r="30" spans="1:9" x14ac:dyDescent="0.25">
      <c r="D30" s="13"/>
      <c r="E30" s="13"/>
      <c r="F30" s="13"/>
      <c r="G30" s="13"/>
      <c r="H30" s="13"/>
      <c r="I30" t="s">
        <v>29</v>
      </c>
    </row>
    <row r="31" spans="1:9" x14ac:dyDescent="0.25">
      <c r="A31" t="s">
        <v>25</v>
      </c>
      <c r="D31" s="18">
        <f>(D16*alfalfa+D18*mint+D19*distillers+D20*corn+D21*whey+D22*cake+D23*mineral+D24*silage+D25*peel)/D15</f>
        <v>2.9036491983967934</v>
      </c>
      <c r="E31" s="18">
        <f>(E16*alfalfa+E18*mint+E19*distillers+E20*corn+E21*whey+E22*cake+E23*mineral+E24*silage+E25*peel)/E15</f>
        <v>3.6011311083123432</v>
      </c>
      <c r="F31" s="18">
        <f>(F16*alfalfa+F18*mint+F19*distillers+F20*corn+F21*whey+F22*cake+F23*mineral+F24*silage+F25*peel)/F15</f>
        <v>1.028774237752655</v>
      </c>
      <c r="G31" s="18">
        <f>(G16*alfalfa+G18*mint+G19*distillers+G20*corn+G21*whey+G22*cake+G23*mineral+G24*silage+G25*peel)/G15</f>
        <v>1.5360470588235293</v>
      </c>
      <c r="H31" s="18">
        <f>(H16*alfalfa+H18*mint+H19*distillers+H20*corn+H21*whey+H22*cake+H23*mineral+H24*silage+H25*peel)/H15</f>
        <v>0.69281973713521938</v>
      </c>
      <c r="I31" s="18">
        <v>1.33</v>
      </c>
    </row>
    <row r="32" spans="1:9" x14ac:dyDescent="0.25">
      <c r="A32" t="s">
        <v>26</v>
      </c>
      <c r="D32" s="7">
        <v>2</v>
      </c>
      <c r="E32" s="7">
        <v>2</v>
      </c>
      <c r="F32" s="7">
        <v>2</v>
      </c>
      <c r="G32" s="7">
        <v>1.6</v>
      </c>
      <c r="H32" s="7">
        <v>1.75</v>
      </c>
      <c r="I32" s="7">
        <v>1.88</v>
      </c>
    </row>
    <row r="33" spans="1:9" x14ac:dyDescent="0.25">
      <c r="A33" t="s">
        <v>27</v>
      </c>
      <c r="D33" s="18">
        <f t="shared" ref="D33:I33" si="0">D31/D32</f>
        <v>1.4518245991983967</v>
      </c>
      <c r="E33" s="18">
        <f t="shared" si="0"/>
        <v>1.8005655541561716</v>
      </c>
      <c r="F33" s="18">
        <f t="shared" si="0"/>
        <v>0.51438711887632749</v>
      </c>
      <c r="G33" s="18">
        <f t="shared" si="0"/>
        <v>0.9600294117647058</v>
      </c>
      <c r="H33" s="18">
        <f t="shared" si="0"/>
        <v>0.39589699264869677</v>
      </c>
      <c r="I33" s="18">
        <f t="shared" si="0"/>
        <v>0.70744680851063835</v>
      </c>
    </row>
    <row r="34" spans="1:9" x14ac:dyDescent="0.25">
      <c r="D34" s="13"/>
      <c r="E34" s="13"/>
      <c r="F34" s="13"/>
      <c r="G34" s="13"/>
      <c r="H34" s="13"/>
    </row>
    <row r="35" spans="1:9" x14ac:dyDescent="0.25">
      <c r="A35" s="10" t="s">
        <v>28</v>
      </c>
      <c r="B35" s="10"/>
      <c r="C35" s="10"/>
      <c r="D35" s="20">
        <f>D31*D15</f>
        <v>2897.8418999999999</v>
      </c>
      <c r="E35" s="20">
        <f>E31*E15</f>
        <v>2859.2981000000004</v>
      </c>
      <c r="F35" s="20">
        <f>F31*F15</f>
        <v>3002.9919999999997</v>
      </c>
      <c r="G35" s="20">
        <f>G31*G15</f>
        <v>3029.0847999999996</v>
      </c>
      <c r="H35" s="20">
        <f>H31*H15</f>
        <v>3110.0677999999998</v>
      </c>
      <c r="I35" s="21">
        <f>SUM(D35:H35)</f>
        <v>14899.284599999999</v>
      </c>
    </row>
    <row r="36" spans="1:9" x14ac:dyDescent="0.25">
      <c r="D36" s="19"/>
      <c r="E36" s="19"/>
      <c r="F36" s="19"/>
      <c r="G36" s="19"/>
      <c r="H36" s="19"/>
      <c r="I36" s="19"/>
    </row>
  </sheetData>
  <pageMargins left="0.7" right="0.7" top="0.75" bottom="0.75" header="0.3" footer="0.3"/>
  <pageSetup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E10" sqref="E10"/>
    </sheetView>
  </sheetViews>
  <sheetFormatPr defaultRowHeight="15" x14ac:dyDescent="0.25"/>
  <sheetData>
    <row r="1" spans="1:6" x14ac:dyDescent="0.25">
      <c r="A1" t="s">
        <v>136</v>
      </c>
    </row>
    <row r="2" spans="1:6" x14ac:dyDescent="0.25">
      <c r="A2" t="s">
        <v>137</v>
      </c>
      <c r="B2" t="s">
        <v>138</v>
      </c>
      <c r="C2" t="s">
        <v>139</v>
      </c>
      <c r="E2" t="s">
        <v>140</v>
      </c>
    </row>
    <row r="3" spans="1:6" x14ac:dyDescent="0.25">
      <c r="A3">
        <v>500</v>
      </c>
      <c r="B3">
        <v>2</v>
      </c>
      <c r="C3">
        <v>6839</v>
      </c>
      <c r="D3">
        <f>C3*B3</f>
        <v>13678</v>
      </c>
    </row>
    <row r="4" spans="1:6" x14ac:dyDescent="0.25">
      <c r="A4">
        <v>1000</v>
      </c>
      <c r="B4">
        <v>2</v>
      </c>
      <c r="C4">
        <v>9563</v>
      </c>
      <c r="D4">
        <f>C4*B4</f>
        <v>19126</v>
      </c>
    </row>
    <row r="5" spans="1:6" x14ac:dyDescent="0.25">
      <c r="A5">
        <v>1500</v>
      </c>
      <c r="B5">
        <v>1</v>
      </c>
      <c r="C5">
        <v>11128</v>
      </c>
      <c r="D5">
        <f>C5*B5</f>
        <v>11128</v>
      </c>
    </row>
    <row r="6" spans="1:6" x14ac:dyDescent="0.25">
      <c r="A6">
        <v>10000</v>
      </c>
      <c r="B6">
        <v>1</v>
      </c>
      <c r="C6">
        <v>42697</v>
      </c>
      <c r="D6">
        <f>C6*B6</f>
        <v>42697</v>
      </c>
    </row>
    <row r="7" spans="1:6" x14ac:dyDescent="0.25">
      <c r="A7">
        <v>30000</v>
      </c>
      <c r="B7">
        <v>1</v>
      </c>
      <c r="C7">
        <v>78897</v>
      </c>
      <c r="D7">
        <f>C7*B7</f>
        <v>78897</v>
      </c>
    </row>
    <row r="8" spans="1:6" x14ac:dyDescent="0.25">
      <c r="D8">
        <f>SUM(D3:D7)</f>
        <v>165526</v>
      </c>
      <c r="E8">
        <f>D8/2</f>
        <v>82763</v>
      </c>
    </row>
    <row r="9" spans="1:6" x14ac:dyDescent="0.25">
      <c r="E9">
        <v>50000</v>
      </c>
      <c r="F9" t="s">
        <v>141</v>
      </c>
    </row>
    <row r="10" spans="1:6" x14ac:dyDescent="0.25">
      <c r="E10">
        <f>AVERAGE(E8,E9)</f>
        <v>66381.5</v>
      </c>
      <c r="F10" t="s">
        <v>142</v>
      </c>
    </row>
    <row r="12" spans="1:6" x14ac:dyDescent="0.25">
      <c r="A12" t="s">
        <v>143</v>
      </c>
    </row>
    <row r="13" spans="1:6" x14ac:dyDescent="0.25">
      <c r="A13"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G2" sqref="G2"/>
    </sheetView>
  </sheetViews>
  <sheetFormatPr defaultColWidth="8.85546875" defaultRowHeight="15" x14ac:dyDescent="0.25"/>
  <cols>
    <col min="1" max="1" width="18.85546875" customWidth="1"/>
    <col min="4" max="4" width="11.42578125" style="135" bestFit="1" customWidth="1"/>
    <col min="5" max="5" width="9.42578125" style="135" bestFit="1" customWidth="1"/>
    <col min="6" max="6" width="10.42578125" style="135" bestFit="1" customWidth="1"/>
    <col min="7" max="7" width="17.42578125" customWidth="1"/>
  </cols>
  <sheetData>
    <row r="1" spans="1:7" ht="45" x14ac:dyDescent="0.25">
      <c r="B1" s="133" t="s">
        <v>134</v>
      </c>
      <c r="C1" s="134" t="s">
        <v>135</v>
      </c>
      <c r="D1" s="137" t="s">
        <v>66</v>
      </c>
      <c r="E1" s="137" t="s">
        <v>67</v>
      </c>
      <c r="F1" s="137" t="s">
        <v>68</v>
      </c>
      <c r="G1" s="137" t="s">
        <v>133</v>
      </c>
    </row>
    <row r="2" spans="1:7" x14ac:dyDescent="0.25">
      <c r="A2" t="s">
        <v>1</v>
      </c>
      <c r="B2">
        <v>55506</v>
      </c>
      <c r="C2" s="19">
        <f t="shared" ref="C2:C11" si="0">B2/head</f>
        <v>4.9683136412459721</v>
      </c>
      <c r="D2" s="136">
        <f>C2*10000</f>
        <v>49683.136412459724</v>
      </c>
      <c r="E2" s="136">
        <f>D2*30/2000</f>
        <v>745.24704618689577</v>
      </c>
      <c r="F2" s="136">
        <f>E2*12</f>
        <v>8942.9645542427497</v>
      </c>
      <c r="G2" s="262">
        <f>F2/10000</f>
        <v>0.89429645542427494</v>
      </c>
    </row>
    <row r="3" spans="1:7" x14ac:dyDescent="0.25">
      <c r="A3" t="s">
        <v>2</v>
      </c>
      <c r="C3" s="19">
        <f t="shared" si="0"/>
        <v>0</v>
      </c>
      <c r="D3" s="136">
        <f t="shared" ref="D3:D11" si="1">C3*10000</f>
        <v>0</v>
      </c>
      <c r="E3" s="136">
        <f t="shared" ref="E3:E11" si="2">D3*30/2000</f>
        <v>0</v>
      </c>
      <c r="F3" s="136"/>
    </row>
    <row r="4" spans="1:7" x14ac:dyDescent="0.25">
      <c r="A4" t="s">
        <v>3</v>
      </c>
      <c r="B4">
        <v>167142</v>
      </c>
      <c r="C4" s="19">
        <f t="shared" si="0"/>
        <v>14.96079484425349</v>
      </c>
      <c r="D4" s="136">
        <f t="shared" si="1"/>
        <v>149607.94844253489</v>
      </c>
      <c r="E4" s="136">
        <f t="shared" si="2"/>
        <v>2244.1192266380231</v>
      </c>
      <c r="F4" s="136">
        <f t="shared" ref="F4:F11" si="3">E4*12</f>
        <v>26929.430719656277</v>
      </c>
      <c r="G4" s="262">
        <f t="shared" ref="G4:G11" si="4">F4/10000</f>
        <v>2.6929430719656278</v>
      </c>
    </row>
    <row r="5" spans="1:7" x14ac:dyDescent="0.25">
      <c r="A5" t="s">
        <v>4</v>
      </c>
      <c r="B5">
        <v>21355</v>
      </c>
      <c r="C5" s="19">
        <f t="shared" si="0"/>
        <v>1.9114751163623345</v>
      </c>
      <c r="D5" s="136">
        <f t="shared" si="1"/>
        <v>19114.751163623343</v>
      </c>
      <c r="E5" s="136">
        <f t="shared" si="2"/>
        <v>286.72126745435014</v>
      </c>
      <c r="F5" s="136">
        <f t="shared" si="3"/>
        <v>3440.6552094522017</v>
      </c>
      <c r="G5" s="262">
        <f t="shared" si="4"/>
        <v>0.34406552094522019</v>
      </c>
    </row>
    <row r="6" spans="1:7" x14ac:dyDescent="0.25">
      <c r="A6" t="s">
        <v>5</v>
      </c>
      <c r="B6">
        <v>3893</v>
      </c>
      <c r="C6" s="19">
        <f t="shared" si="0"/>
        <v>0.34846043680630145</v>
      </c>
      <c r="D6" s="136">
        <f t="shared" si="1"/>
        <v>3484.6043680630146</v>
      </c>
      <c r="E6" s="136">
        <f t="shared" si="2"/>
        <v>52.269065520945219</v>
      </c>
      <c r="F6" s="136">
        <f t="shared" si="3"/>
        <v>627.22878625134263</v>
      </c>
      <c r="G6" s="262">
        <f t="shared" si="4"/>
        <v>6.272287862513426E-2</v>
      </c>
    </row>
    <row r="7" spans="1:7" x14ac:dyDescent="0.25">
      <c r="A7" t="s">
        <v>6</v>
      </c>
      <c r="B7">
        <v>36207</v>
      </c>
      <c r="C7" s="19">
        <f t="shared" si="0"/>
        <v>3.2408700322234156</v>
      </c>
      <c r="D7" s="136">
        <f t="shared" si="1"/>
        <v>32408.700322234155</v>
      </c>
      <c r="E7" s="136">
        <f t="shared" si="2"/>
        <v>486.13050483351236</v>
      </c>
      <c r="F7" s="136">
        <f t="shared" si="3"/>
        <v>5833.5660580021486</v>
      </c>
      <c r="G7" s="262">
        <f t="shared" si="4"/>
        <v>0.58335660580021487</v>
      </c>
    </row>
    <row r="8" spans="1:7" x14ac:dyDescent="0.25">
      <c r="A8" t="s">
        <v>7</v>
      </c>
      <c r="B8">
        <v>45051</v>
      </c>
      <c r="C8" s="19">
        <f t="shared" si="0"/>
        <v>4.0324919441460798</v>
      </c>
      <c r="D8" s="136">
        <f t="shared" si="1"/>
        <v>40324.919441460799</v>
      </c>
      <c r="E8" s="136">
        <f t="shared" si="2"/>
        <v>604.87379162191201</v>
      </c>
      <c r="F8" s="136">
        <f t="shared" si="3"/>
        <v>7258.4854994629441</v>
      </c>
      <c r="G8" s="262">
        <f t="shared" si="4"/>
        <v>0.72584854994629444</v>
      </c>
    </row>
    <row r="9" spans="1:7" x14ac:dyDescent="0.25">
      <c r="A9" t="s">
        <v>8</v>
      </c>
      <c r="B9">
        <v>1959</v>
      </c>
      <c r="C9" s="19">
        <f t="shared" si="0"/>
        <v>0.17534908700322235</v>
      </c>
      <c r="D9" s="136">
        <f t="shared" si="1"/>
        <v>1753.4908700322235</v>
      </c>
      <c r="E9" s="136">
        <f t="shared" si="2"/>
        <v>26.302363050483354</v>
      </c>
      <c r="F9" s="136">
        <f t="shared" si="3"/>
        <v>315.62835660580026</v>
      </c>
      <c r="G9" s="262">
        <f t="shared" si="4"/>
        <v>3.1562835660580026E-2</v>
      </c>
    </row>
    <row r="10" spans="1:7" x14ac:dyDescent="0.25">
      <c r="A10" t="s">
        <v>13</v>
      </c>
      <c r="B10">
        <v>187458</v>
      </c>
      <c r="C10" s="19">
        <f t="shared" si="0"/>
        <v>16.779269602577873</v>
      </c>
      <c r="D10" s="136">
        <f t="shared" si="1"/>
        <v>167792.69602577874</v>
      </c>
      <c r="E10" s="136">
        <f t="shared" si="2"/>
        <v>2516.8904403866813</v>
      </c>
      <c r="F10" s="136">
        <f t="shared" si="3"/>
        <v>30202.685284640174</v>
      </c>
      <c r="G10" s="262">
        <f t="shared" si="4"/>
        <v>3.0202685284640176</v>
      </c>
    </row>
    <row r="11" spans="1:7" x14ac:dyDescent="0.25">
      <c r="A11" t="s">
        <v>14</v>
      </c>
      <c r="B11">
        <v>55992</v>
      </c>
      <c r="C11" s="19">
        <f t="shared" si="0"/>
        <v>5.0118152524167563</v>
      </c>
      <c r="D11" s="136">
        <f t="shared" si="1"/>
        <v>50118.152524167563</v>
      </c>
      <c r="E11" s="136">
        <f t="shared" si="2"/>
        <v>751.77228786251339</v>
      </c>
      <c r="F11" s="136">
        <f t="shared" si="3"/>
        <v>9021.2674543501598</v>
      </c>
      <c r="G11" s="262">
        <f t="shared" si="4"/>
        <v>0.90212674543501603</v>
      </c>
    </row>
    <row r="12" spans="1:7" x14ac:dyDescent="0.25">
      <c r="G12" s="262">
        <f>SUM(G2:G11)</f>
        <v>9.2571911922663812</v>
      </c>
    </row>
    <row r="13" spans="1:7" x14ac:dyDescent="0.25">
      <c r="A13" t="s">
        <v>65</v>
      </c>
      <c r="B13">
        <v>11172</v>
      </c>
      <c r="C13" t="s">
        <v>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34</vt:i4>
      </vt:variant>
    </vt:vector>
  </HeadingPairs>
  <TitlesOfParts>
    <vt:vector size="43" baseType="lpstr">
      <vt:lpstr>Title</vt:lpstr>
      <vt:lpstr>Background &amp; Assumptions</vt:lpstr>
      <vt:lpstr>Feed Prices</vt:lpstr>
      <vt:lpstr>Table 1 Feed Rations by Group</vt:lpstr>
      <vt:lpstr>Table 2 Operating Budget</vt:lpstr>
      <vt:lpstr>Table 3 Capital Costs</vt:lpstr>
      <vt:lpstr>calc from Mann</vt:lpstr>
      <vt:lpstr>calc for 10000 head</vt:lpstr>
      <vt:lpstr>fuel tank estimates</vt:lpstr>
      <vt:lpstr>alfalfa</vt:lpstr>
      <vt:lpstr>barley</vt:lpstr>
      <vt:lpstr>beetpulp</vt:lpstr>
      <vt:lpstr>cake</vt:lpstr>
      <vt:lpstr>canola</vt:lpstr>
      <vt:lpstr>corn</vt:lpstr>
      <vt:lpstr>cornsilage</vt:lpstr>
      <vt:lpstr>cullrate</vt:lpstr>
      <vt:lpstr>deathloss</vt:lpstr>
      <vt:lpstr>distillers</vt:lpstr>
      <vt:lpstr>feederhay</vt:lpstr>
      <vt:lpstr>head</vt:lpstr>
      <vt:lpstr>Heifers</vt:lpstr>
      <vt:lpstr>mineral</vt:lpstr>
      <vt:lpstr>mint</vt:lpstr>
      <vt:lpstr>molasses</vt:lpstr>
      <vt:lpstr>OpenLot_No.</vt:lpstr>
      <vt:lpstr>peel</vt:lpstr>
      <vt:lpstr>'Background &amp; Assumptions'!Print_Area</vt:lpstr>
      <vt:lpstr>'calc from Mann'!Print_Area</vt:lpstr>
      <vt:lpstr>'Feed Prices'!Print_Area</vt:lpstr>
      <vt:lpstr>'Table 1 Feed Rations by Group'!Print_Area</vt:lpstr>
      <vt:lpstr>'Table 2 Operating Budget'!Print_Area</vt:lpstr>
      <vt:lpstr>'Table 3 Capital Costs'!Print_Area</vt:lpstr>
      <vt:lpstr>Title!Print_Area</vt:lpstr>
      <vt:lpstr>pushout</vt:lpstr>
      <vt:lpstr>ryegrasspellets</vt:lpstr>
      <vt:lpstr>silage</vt:lpstr>
      <vt:lpstr>SpringerMarketPrice</vt:lpstr>
      <vt:lpstr>straw</vt:lpstr>
      <vt:lpstr>total</vt:lpstr>
      <vt:lpstr>TotalGain</vt:lpstr>
      <vt:lpstr>ValueofGain</vt:lpstr>
      <vt:lpstr>whey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Painter, Kathleen</dc:creator>
  <cp:lastModifiedBy>Painter, Kathleen</cp:lastModifiedBy>
  <cp:lastPrinted>2015-07-09T21:12:31Z</cp:lastPrinted>
  <dcterms:created xsi:type="dcterms:W3CDTF">2013-07-03T21:12:51Z</dcterms:created>
  <dcterms:modified xsi:type="dcterms:W3CDTF">2015-07-09T21:12:53Z</dcterms:modified>
</cp:coreProperties>
</file>