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lee\Documents\"/>
    </mc:Choice>
  </mc:AlternateContent>
  <xr:revisionPtr revIDLastSave="0" documentId="8_{29E1021A-EFEA-4937-86DE-266F994E5B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G1-17" sheetId="28" r:id="rId1"/>
    <sheet name="Flows" sheetId="30" r:id="rId2"/>
    <sheet name="Investment" sheetId="31" r:id="rId3"/>
  </sheets>
  <externalReferences>
    <externalReference r:id="rId4"/>
  </externalReferences>
  <definedNames>
    <definedName name="alf" localSheetId="0">'[1]Input Prices'!#REF!</definedName>
    <definedName name="alf">'[1]Input Prices'!#REF!</definedName>
    <definedName name="Alfalfa">'[1]Input Prices'!$C$6</definedName>
    <definedName name="Barley">'[1]Input Prices'!$C$7</definedName>
    <definedName name="Bull" localSheetId="0">'[1]Input Prices'!#REF!</definedName>
    <definedName name="Bull">'[1]Input Prices'!#REF!</definedName>
    <definedName name="ChkOff">'[1]Input Prices'!$C$17</definedName>
    <definedName name="CropAft">'[1]Input Prices'!$C$12</definedName>
    <definedName name="Cull" localSheetId="0">'[1]Input Prices'!#REF!</definedName>
    <definedName name="Cull">'[1]Input Prices'!#REF!</definedName>
    <definedName name="fed">'[1]Input Prices'!$C$8</definedName>
    <definedName name="Heifer" localSheetId="0">'[1]Input Prices'!#REF!</definedName>
    <definedName name="Heifer">'[1]Input Prices'!#REF!</definedName>
    <definedName name="hrdlbr" localSheetId="0">'[1]Input Prices'!#REF!</definedName>
    <definedName name="hrdlbr">'[1]Input Prices'!#REF!</definedName>
    <definedName name="llabor">'[1]Input Prices'!$C$21</definedName>
    <definedName name="Mdwhay" localSheetId="0">'[1]Input Prices'!#REF!</definedName>
    <definedName name="Mdwhay">'[1]Input Prices'!#REF!</definedName>
    <definedName name="Mdwpastr">'[1]Input Prices'!$C$10</definedName>
    <definedName name="Meadow" localSheetId="0">'[1]Input Prices'!#REF!</definedName>
    <definedName name="Meadow">'[1]Input Prices'!#REF!</definedName>
    <definedName name="Minerals">'[1]Input Prices'!$C$14</definedName>
    <definedName name="opint">'[1]Input Prices'!$C$25</definedName>
    <definedName name="ownlbr">'[1]Input Prices'!$C$20</definedName>
    <definedName name="_xlnm.Print_Area" localSheetId="0">'DG1-17'!$B$3:$O$60</definedName>
    <definedName name="Private">'[1]Input Prices'!$C$11</definedName>
    <definedName name="RepHeif" localSheetId="0">'[1]Input Prices'!#REF!</definedName>
    <definedName name="RepHeif">'[1]Input Prices'!#REF!</definedName>
    <definedName name="Retlivint">'[1]Input Prices'!$C$26</definedName>
    <definedName name="Salt">'[1]Input Prices'!$C$13</definedName>
    <definedName name="state">'[1]Input Prices'!$C$9</definedName>
    <definedName name="Steer" localSheetId="0">'[1]Input Prices'!#REF!</definedName>
    <definedName name="Steer">'[1]Input Prices'!#REF!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30" l="1"/>
  <c r="C18" i="30"/>
  <c r="C19" i="30"/>
  <c r="C20" i="30"/>
  <c r="C21" i="30"/>
  <c r="C22" i="30"/>
  <c r="C23" i="30"/>
  <c r="C24" i="30"/>
  <c r="C25" i="30"/>
  <c r="C26" i="30"/>
  <c r="C27" i="30"/>
  <c r="C28" i="30"/>
  <c r="E28" i="31"/>
  <c r="D28" i="31"/>
  <c r="E22" i="31"/>
  <c r="D22" i="31"/>
  <c r="I22" i="31" s="1"/>
  <c r="K49" i="28" s="1"/>
  <c r="E21" i="31"/>
  <c r="D21" i="31"/>
  <c r="D24" i="31" s="1"/>
  <c r="N28" i="28"/>
  <c r="M28" i="28" s="1"/>
  <c r="P25" i="30" s="1"/>
  <c r="O25" i="30" s="1"/>
  <c r="E24" i="30" l="1"/>
  <c r="O28" i="30"/>
  <c r="N28" i="30"/>
  <c r="I28" i="30"/>
  <c r="H19" i="30"/>
  <c r="I19" i="30"/>
  <c r="N24" i="30"/>
  <c r="F22" i="30"/>
  <c r="G22" i="30"/>
  <c r="D18" i="30"/>
  <c r="G18" i="30"/>
  <c r="E22" i="30"/>
  <c r="O20" i="30"/>
  <c r="N20" i="28"/>
  <c r="M20" i="28" s="1"/>
  <c r="P17" i="30" s="1"/>
  <c r="N21" i="28"/>
  <c r="M21" i="28" s="1"/>
  <c r="P18" i="30" s="1"/>
  <c r="L18" i="30" s="1"/>
  <c r="N22" i="28"/>
  <c r="M22" i="28" s="1"/>
  <c r="P19" i="30" s="1"/>
  <c r="M19" i="30" s="1"/>
  <c r="N23" i="28"/>
  <c r="M23" i="28" s="1"/>
  <c r="P20" i="30" s="1"/>
  <c r="N20" i="30" s="1"/>
  <c r="N24" i="28"/>
  <c r="M24" i="28" s="1"/>
  <c r="P21" i="30" s="1"/>
  <c r="N25" i="28"/>
  <c r="M25" i="28" s="1"/>
  <c r="P22" i="30" s="1"/>
  <c r="N26" i="28"/>
  <c r="M26" i="28" s="1"/>
  <c r="P23" i="30" s="1"/>
  <c r="N27" i="28"/>
  <c r="M27" i="28" s="1"/>
  <c r="P24" i="30" s="1"/>
  <c r="J24" i="30" s="1"/>
  <c r="N29" i="28"/>
  <c r="M29" i="28" s="1"/>
  <c r="P26" i="30" s="1"/>
  <c r="N30" i="28"/>
  <c r="M30" i="28" s="1"/>
  <c r="P27" i="30" s="1"/>
  <c r="N31" i="28"/>
  <c r="M31" i="28" s="1"/>
  <c r="P28" i="30" s="1"/>
  <c r="L28" i="30" s="1"/>
  <c r="N32" i="28"/>
  <c r="M32" i="28" s="1"/>
  <c r="N33" i="28"/>
  <c r="M33" i="28" s="1"/>
  <c r="M35" i="28"/>
  <c r="P30" i="30" s="1"/>
  <c r="M36" i="28"/>
  <c r="P31" i="30" s="1"/>
  <c r="M37" i="28"/>
  <c r="P32" i="30" s="1"/>
  <c r="M34" i="28"/>
  <c r="P29" i="30" s="1"/>
  <c r="N19" i="28"/>
  <c r="M19" i="28" s="1"/>
  <c r="P16" i="30" s="1"/>
  <c r="N12" i="28"/>
  <c r="M12" i="28" s="1"/>
  <c r="P7" i="30" s="1"/>
  <c r="N13" i="28"/>
  <c r="M13" i="28" s="1"/>
  <c r="P8" i="30" s="1"/>
  <c r="L8" i="30" s="1"/>
  <c r="N14" i="28"/>
  <c r="M14" i="28" s="1"/>
  <c r="P9" i="30" s="1"/>
  <c r="N15" i="28"/>
  <c r="M15" i="28" s="1"/>
  <c r="P10" i="30" s="1"/>
  <c r="N11" i="28"/>
  <c r="M11" i="28" s="1"/>
  <c r="P6" i="30" s="1"/>
  <c r="L22" i="30" l="1"/>
  <c r="H22" i="30"/>
  <c r="I22" i="30"/>
  <c r="J19" i="30"/>
  <c r="M18" i="30"/>
  <c r="N22" i="30"/>
  <c r="H28" i="30"/>
  <c r="L20" i="30"/>
  <c r="J28" i="30"/>
  <c r="M24" i="30"/>
  <c r="F20" i="30"/>
  <c r="H21" i="30"/>
  <c r="O21" i="30"/>
  <c r="G21" i="30"/>
  <c r="I21" i="30"/>
  <c r="J21" i="30"/>
  <c r="K21" i="30"/>
  <c r="D21" i="30"/>
  <c r="M21" i="30"/>
  <c r="N21" i="30"/>
  <c r="E21" i="30"/>
  <c r="F21" i="30"/>
  <c r="H20" i="30"/>
  <c r="E18" i="30"/>
  <c r="J22" i="30"/>
  <c r="G24" i="30"/>
  <c r="F28" i="30"/>
  <c r="I24" i="30"/>
  <c r="F19" i="30"/>
  <c r="G19" i="30"/>
  <c r="N19" i="30"/>
  <c r="M22" i="30"/>
  <c r="O22" i="30"/>
  <c r="E19" i="30"/>
  <c r="D20" i="30"/>
  <c r="K20" i="30"/>
  <c r="O24" i="30"/>
  <c r="N18" i="30"/>
  <c r="O18" i="30"/>
  <c r="F18" i="30"/>
  <c r="I18" i="30"/>
  <c r="J18" i="30"/>
  <c r="K18" i="30"/>
  <c r="K24" i="30"/>
  <c r="H18" i="30"/>
  <c r="K19" i="30"/>
  <c r="O19" i="30"/>
  <c r="D28" i="30"/>
  <c r="G20" i="30"/>
  <c r="D24" i="30"/>
  <c r="E28" i="30"/>
  <c r="D22" i="30"/>
  <c r="I20" i="30"/>
  <c r="D19" i="30"/>
  <c r="K28" i="30"/>
  <c r="L24" i="30"/>
  <c r="E20" i="30"/>
  <c r="M20" i="30"/>
  <c r="L21" i="30"/>
  <c r="M28" i="30"/>
  <c r="K22" i="30"/>
  <c r="F24" i="30"/>
  <c r="L19" i="30"/>
  <c r="G28" i="30"/>
  <c r="J20" i="30"/>
  <c r="H24" i="30"/>
  <c r="K27" i="30"/>
  <c r="O27" i="30"/>
  <c r="N27" i="30"/>
  <c r="F27" i="30"/>
  <c r="D27" i="30"/>
  <c r="E27" i="30"/>
  <c r="G27" i="30"/>
  <c r="J27" i="30"/>
  <c r="L27" i="30"/>
  <c r="M27" i="30"/>
  <c r="H27" i="30"/>
  <c r="I27" i="30"/>
  <c r="O26" i="30"/>
  <c r="M26" i="30"/>
  <c r="E26" i="30"/>
  <c r="H26" i="30"/>
  <c r="L26" i="30"/>
  <c r="I26" i="30"/>
  <c r="D26" i="30"/>
  <c r="N26" i="30"/>
  <c r="J26" i="30"/>
  <c r="K26" i="30"/>
  <c r="F26" i="30"/>
  <c r="G26" i="30"/>
  <c r="P12" i="30"/>
  <c r="D6" i="30"/>
  <c r="E6" i="30"/>
  <c r="K12" i="30"/>
  <c r="G12" i="30"/>
  <c r="O12" i="30"/>
  <c r="E7" i="30"/>
  <c r="L7" i="30"/>
  <c r="M7" i="30"/>
  <c r="H31" i="30"/>
  <c r="L31" i="30"/>
  <c r="E31" i="30"/>
  <c r="I31" i="30"/>
  <c r="M31" i="30"/>
  <c r="G31" i="30"/>
  <c r="O31" i="30"/>
  <c r="J31" i="30"/>
  <c r="D31" i="30"/>
  <c r="K31" i="30"/>
  <c r="F31" i="30"/>
  <c r="N31" i="30"/>
  <c r="O32" i="30"/>
  <c r="F32" i="30"/>
  <c r="J32" i="30"/>
  <c r="N32" i="30"/>
  <c r="G32" i="30"/>
  <c r="K32" i="30"/>
  <c r="D32" i="30"/>
  <c r="E32" i="30"/>
  <c r="M32" i="30"/>
  <c r="H32" i="30"/>
  <c r="I32" i="30"/>
  <c r="L32" i="30"/>
  <c r="F10" i="30"/>
  <c r="N10" i="30"/>
  <c r="E10" i="30"/>
  <c r="L10" i="30"/>
  <c r="L12" i="30" s="1"/>
  <c r="G10" i="30"/>
  <c r="M10" i="30"/>
  <c r="H10" i="30"/>
  <c r="H16" i="30"/>
  <c r="L16" i="30"/>
  <c r="D16" i="30"/>
  <c r="F16" i="30"/>
  <c r="K16" i="30"/>
  <c r="G16" i="30"/>
  <c r="M16" i="30"/>
  <c r="I16" i="30"/>
  <c r="N16" i="30"/>
  <c r="E16" i="30"/>
  <c r="J16" i="30"/>
  <c r="O16" i="30"/>
  <c r="F30" i="30"/>
  <c r="J30" i="30"/>
  <c r="N30" i="30"/>
  <c r="G30" i="30"/>
  <c r="K30" i="30"/>
  <c r="O30" i="30"/>
  <c r="I30" i="30"/>
  <c r="L30" i="30"/>
  <c r="E30" i="30"/>
  <c r="M30" i="30"/>
  <c r="D30" i="30"/>
  <c r="H30" i="30"/>
  <c r="M9" i="30"/>
  <c r="G9" i="30"/>
  <c r="H9" i="30"/>
  <c r="N9" i="30"/>
  <c r="N12" i="30" s="1"/>
  <c r="E9" i="30"/>
  <c r="L9" i="30"/>
  <c r="F9" i="30"/>
  <c r="H29" i="30"/>
  <c r="L29" i="30"/>
  <c r="D29" i="30"/>
  <c r="O29" i="30"/>
  <c r="E29" i="30"/>
  <c r="I29" i="30"/>
  <c r="M29" i="30"/>
  <c r="K29" i="30"/>
  <c r="F29" i="30"/>
  <c r="N29" i="30"/>
  <c r="G29" i="30"/>
  <c r="J29" i="30"/>
  <c r="N34" i="28"/>
  <c r="N37" i="28"/>
  <c r="N36" i="28"/>
  <c r="N35" i="28"/>
  <c r="C30" i="30"/>
  <c r="C31" i="30"/>
  <c r="C32" i="30"/>
  <c r="C33" i="30"/>
  <c r="C29" i="30"/>
  <c r="C16" i="30"/>
  <c r="D38" i="31"/>
  <c r="I36" i="31"/>
  <c r="H36" i="31"/>
  <c r="I35" i="31"/>
  <c r="H35" i="31"/>
  <c r="I34" i="31"/>
  <c r="H34" i="31"/>
  <c r="I28" i="31"/>
  <c r="D17" i="31"/>
  <c r="I15" i="31"/>
  <c r="H15" i="31"/>
  <c r="I14" i="31"/>
  <c r="H14" i="31"/>
  <c r="I13" i="31"/>
  <c r="H13" i="31"/>
  <c r="I12" i="31"/>
  <c r="H12" i="31"/>
  <c r="I11" i="31"/>
  <c r="H11" i="31"/>
  <c r="I10" i="31"/>
  <c r="H10" i="31"/>
  <c r="I9" i="31"/>
  <c r="H9" i="31"/>
  <c r="I8" i="31"/>
  <c r="K47" i="28" s="1"/>
  <c r="H8" i="31"/>
  <c r="I7" i="31"/>
  <c r="H7" i="31"/>
  <c r="J12" i="30"/>
  <c r="I12" i="30"/>
  <c r="H12" i="30"/>
  <c r="F12" i="30"/>
  <c r="M12" i="30"/>
  <c r="K48" i="28" l="1"/>
  <c r="E12" i="30"/>
  <c r="K35" i="30"/>
  <c r="I35" i="30"/>
  <c r="F35" i="30"/>
  <c r="F38" i="30" s="1"/>
  <c r="J35" i="30"/>
  <c r="J38" i="30" s="1"/>
  <c r="M35" i="30"/>
  <c r="M38" i="30" s="1"/>
  <c r="D35" i="30"/>
  <c r="E35" i="30"/>
  <c r="E38" i="30" s="1"/>
  <c r="G35" i="30"/>
  <c r="G38" i="30" s="1"/>
  <c r="L35" i="30"/>
  <c r="L38" i="30" s="1"/>
  <c r="N35" i="30"/>
  <c r="N38" i="30" s="1"/>
  <c r="H35" i="30"/>
  <c r="H38" i="30" s="1"/>
  <c r="H38" i="31"/>
  <c r="I17" i="31"/>
  <c r="H17" i="31"/>
  <c r="I38" i="31"/>
  <c r="K51" i="28" s="1"/>
  <c r="D30" i="31"/>
  <c r="I52" i="28" s="1"/>
  <c r="I21" i="31"/>
  <c r="I30" i="31"/>
  <c r="I38" i="30"/>
  <c r="D12" i="30"/>
  <c r="K38" i="30"/>
  <c r="P35" i="30"/>
  <c r="P38" i="30" s="1"/>
  <c r="I24" i="31" l="1"/>
  <c r="K50" i="28"/>
  <c r="D38" i="30"/>
  <c r="M54" i="28" l="1"/>
  <c r="N54" i="28" s="1"/>
  <c r="M53" i="28"/>
  <c r="N53" i="28" s="1"/>
  <c r="M52" i="28"/>
  <c r="N52" i="28" s="1"/>
  <c r="M51" i="28"/>
  <c r="N51" i="28" s="1"/>
  <c r="M50" i="28"/>
  <c r="N50" i="28" s="1"/>
  <c r="M49" i="28"/>
  <c r="N49" i="28" s="1"/>
  <c r="M48" i="28"/>
  <c r="N48" i="28" s="1"/>
  <c r="M47" i="28"/>
  <c r="N47" i="28" s="1"/>
  <c r="M38" i="28"/>
  <c r="N38" i="28" l="1"/>
  <c r="P33" i="30"/>
  <c r="O33" i="30" s="1"/>
  <c r="O35" i="30" s="1"/>
  <c r="O38" i="30" s="1"/>
  <c r="N16" i="28"/>
  <c r="M16" i="28"/>
  <c r="M55" i="28"/>
  <c r="N55" i="28" s="1"/>
  <c r="M39" i="28"/>
  <c r="M41" i="28" l="1"/>
  <c r="N41" i="28" s="1"/>
  <c r="N39" i="28"/>
  <c r="M57" i="28"/>
  <c r="M59" i="28" l="1"/>
  <c r="N59" i="28" s="1"/>
  <c r="N57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</author>
    <author>BEborn</author>
  </authors>
  <commentList>
    <comment ref="K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Enterprise share of machinery fuel, oil, and repair expenses.</t>
        </r>
      </text>
    </comment>
    <comment ref="K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Enterprise share of vehicle fuel and repair expenses.</t>
        </r>
      </text>
    </comment>
    <comment ref="K3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Enterprise share of equipment repair expenses.</t>
        </r>
      </text>
    </comment>
    <comment ref="K3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Enterprise share of buildings and improvements repair expenses.</t>
        </r>
      </text>
    </comment>
    <comment ref="I3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Average annual operating loan balance.</t>
        </r>
      </text>
    </comment>
    <comment ref="K3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Interest rate on operating capital.</t>
        </r>
      </text>
    </comment>
    <comment ref="K4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Annual depreciation on the purchase milking equipment. </t>
        </r>
      </text>
    </comment>
    <comment ref="K4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Annual depreciation on buildings and improvements.</t>
        </r>
      </text>
    </comment>
    <comment ref="K49" authorId="1" shapeId="0" xr:uid="{00000000-0006-0000-0000-000009000000}">
      <text/>
    </comment>
    <comment ref="K50" authorId="1" shapeId="0" xr:uid="{00000000-0006-0000-0000-00000A000000}">
      <text/>
    </comment>
    <comment ref="K5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Annual depreciation on machinery &amp; vehicles.</t>
        </r>
      </text>
    </comment>
    <comment ref="I5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The total market value of milking does.</t>
        </r>
      </text>
    </comment>
    <comment ref="K5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The opportunity cost of capital, or the rate you could earn in another investment.</t>
        </r>
      </text>
    </comment>
    <comment ref="K5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Total annual property taxes and insurance expense.</t>
        </r>
      </text>
    </comment>
    <comment ref="K5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General overhead costs. Examples may include indirect: labor, materials, utilities, and depreciation.</t>
        </r>
      </text>
    </comment>
  </commentList>
</comments>
</file>

<file path=xl/sharedStrings.xml><?xml version="1.0" encoding="utf-8"?>
<sst xmlns="http://schemas.openxmlformats.org/spreadsheetml/2006/main" count="169" uniqueCount="128">
  <si>
    <t>Unit</t>
  </si>
  <si>
    <t>Value or</t>
  </si>
  <si>
    <t>Price or</t>
  </si>
  <si>
    <t>Capital Recovery:</t>
  </si>
  <si>
    <t>Cost/Head</t>
  </si>
  <si>
    <t>Cost/Unit</t>
  </si>
  <si>
    <t>of Head</t>
  </si>
  <si>
    <t>or Units</t>
  </si>
  <si>
    <t>Total</t>
  </si>
  <si>
    <t>Value</t>
  </si>
  <si>
    <t>ton</t>
  </si>
  <si>
    <t>cwt</t>
  </si>
  <si>
    <t>$</t>
  </si>
  <si>
    <t>TOTAL GROSS RETURNS</t>
  </si>
  <si>
    <t>GROSS RETURNS</t>
  </si>
  <si>
    <t>OPERATING COSTS</t>
  </si>
  <si>
    <t>TOTAL OPERATING COSTS</t>
  </si>
  <si>
    <t>NET RETURNS ABOVE OPERATING COSTS</t>
  </si>
  <si>
    <t>OWNERSHIP COSTS</t>
  </si>
  <si>
    <t>TOTAL OWNERSHIP COSTS</t>
  </si>
  <si>
    <t>TOTAL COSTS</t>
  </si>
  <si>
    <t>NET RETURNS ABOVE TOTAL COSTS</t>
  </si>
  <si>
    <t>Interest on Operating Capital</t>
  </si>
  <si>
    <t>Hired Labor</t>
  </si>
  <si>
    <t>Interest on Retained Livestock</t>
  </si>
  <si>
    <t>Taxes &amp; Insurance</t>
  </si>
  <si>
    <t>General Overhead</t>
  </si>
  <si>
    <t>Machinery (Fuel, Oil, Repair)</t>
  </si>
  <si>
    <t>Vehicles (Fuel, Repair)</t>
  </si>
  <si>
    <t>Equipment (Repair)</t>
  </si>
  <si>
    <t>Owner Labor</t>
  </si>
  <si>
    <t>NOTES</t>
  </si>
  <si>
    <t>Alfalfa Hay</t>
  </si>
  <si>
    <t>Alfalfa/Grass Hay</t>
  </si>
  <si>
    <t>Buildings &amp; Improvements (Repair)</t>
  </si>
  <si>
    <t>Year:</t>
  </si>
  <si>
    <r>
      <rPr>
        <b/>
        <sz val="14"/>
        <rFont val="Arial"/>
        <family val="2"/>
      </rPr>
      <t>&gt;</t>
    </r>
    <r>
      <rPr>
        <sz val="14"/>
        <rFont val="Arial"/>
        <family val="2"/>
      </rPr>
      <t xml:space="preserve"> Enter information in white cells.                 </t>
    </r>
    <r>
      <rPr>
        <b/>
        <sz val="14"/>
        <rFont val="Arial"/>
        <family val="2"/>
      </rPr>
      <t>&gt;</t>
    </r>
    <r>
      <rPr>
        <sz val="14"/>
        <rFont val="Arial"/>
        <family val="2"/>
      </rPr>
      <t xml:space="preserve"> Values in </t>
    </r>
    <r>
      <rPr>
        <sz val="14"/>
        <color rgb="FF0000CC"/>
        <rFont val="Arial"/>
        <family val="2"/>
      </rPr>
      <t>blue</t>
    </r>
    <r>
      <rPr>
        <sz val="14"/>
        <rFont val="Arial"/>
        <family val="2"/>
      </rPr>
      <t xml:space="preserve"> cells are calculated.                   </t>
    </r>
    <r>
      <rPr>
        <b/>
        <sz val="14"/>
        <rFont val="Arial"/>
        <family val="2"/>
      </rPr>
      <t>&gt;</t>
    </r>
    <r>
      <rPr>
        <sz val="14"/>
        <rFont val="Arial"/>
        <family val="2"/>
      </rPr>
      <t xml:space="preserve"> Click on cells with </t>
    </r>
    <r>
      <rPr>
        <sz val="14"/>
        <color rgb="FFFF0000"/>
        <rFont val="Arial"/>
        <family val="2"/>
      </rPr>
      <t>red</t>
    </r>
    <r>
      <rPr>
        <sz val="14"/>
        <rFont val="Arial"/>
        <family val="2"/>
      </rPr>
      <t xml:space="preserve"> in the corner for explanations. </t>
    </r>
  </si>
  <si>
    <t>INSTRUCTIONS</t>
  </si>
  <si>
    <t xml:space="preserve">Dairy Goat Enterprise Budget </t>
  </si>
  <si>
    <t>No. of Does:</t>
  </si>
  <si>
    <t>Mixed Breed Goat Dairy - Southcentral Idaho</t>
  </si>
  <si>
    <t>Milk Sales</t>
  </si>
  <si>
    <t>Cull Does</t>
  </si>
  <si>
    <t>Cull Bucks</t>
  </si>
  <si>
    <t xml:space="preserve">Male Kids </t>
  </si>
  <si>
    <t>Female Kids</t>
  </si>
  <si>
    <t>Straw</t>
  </si>
  <si>
    <t>Veterinary/Health</t>
  </si>
  <si>
    <t>Milk Testing</t>
  </si>
  <si>
    <t>Utilities</t>
  </si>
  <si>
    <t>Milk Hauling</t>
  </si>
  <si>
    <t>Legal &amp; Accounting</t>
  </si>
  <si>
    <t>Milking Equipment</t>
  </si>
  <si>
    <t>hd</t>
  </si>
  <si>
    <t>hr</t>
  </si>
  <si>
    <t xml:space="preserve">Table 2:  Monthly Summary of Returns and Expenses.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</si>
  <si>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</si>
  <si>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</si>
  <si>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</si>
  <si>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</si>
  <si>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</si>
  <si>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</si>
  <si>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</si>
  <si>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</si>
  <si>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</si>
  <si>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</si>
  <si>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</si>
  <si>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</si>
  <si>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Production:</t>
  </si>
  <si>
    <t>Total Receipts</t>
  </si>
  <si>
    <t>Operating Inputs:</t>
  </si>
  <si>
    <t>Total Costs</t>
  </si>
  <si>
    <t>Net Returns</t>
  </si>
  <si>
    <t xml:space="preserve">Table 3:  Monthly Feed Requirements. </t>
  </si>
  <si>
    <t>Feed</t>
  </si>
  <si>
    <t>Units</t>
  </si>
  <si>
    <t>Daily Feed Requirements                                                              by Livestock Category (lb fed/head/day)</t>
  </si>
  <si>
    <t>Livestock Category</t>
  </si>
  <si>
    <t>Alfalfa Hay      (lb)</t>
  </si>
  <si>
    <t>No. of Days</t>
  </si>
  <si>
    <t xml:space="preserve">Table 4:  Investment Summary. </t>
  </si>
  <si>
    <t>Total Value</t>
  </si>
  <si>
    <t>Salvage/Cull Value</t>
  </si>
  <si>
    <t>Livestock Share</t>
  </si>
  <si>
    <t>Useful Life</t>
  </si>
  <si>
    <t>Annual Taxes &amp; Insurance</t>
  </si>
  <si>
    <r>
      <t>Annual Capital</t>
    </r>
    <r>
      <rPr>
        <b/>
        <sz val="14"/>
        <rFont val="Arial"/>
        <family val="2"/>
      </rPr>
      <t xml:space="preserve"> Recovery</t>
    </r>
  </si>
  <si>
    <t>Buildings, Improvements</t>
  </si>
  <si>
    <t>Interest/Discount Rate</t>
  </si>
  <si>
    <t>and Equipment</t>
  </si>
  <si>
    <t>Barn</t>
  </si>
  <si>
    <t>Hay Shed</t>
  </si>
  <si>
    <t>Vet Equipment</t>
  </si>
  <si>
    <t>Stock Trailer</t>
  </si>
  <si>
    <t>Purchased Livestock</t>
  </si>
  <si>
    <t>Retained Livestock</t>
  </si>
  <si>
    <t>Machinery and Vehicles</t>
  </si>
  <si>
    <t>Annual capital recovery is the method of calculating depreciation and interest recommended by the National Task Force</t>
  </si>
  <si>
    <t>on Commodity Costs and Returns Measurement Methods.</t>
  </si>
  <si>
    <t>Interest on average investment.</t>
  </si>
  <si>
    <t>Number of does</t>
  </si>
  <si>
    <t>Number of bucks</t>
  </si>
  <si>
    <t>Kidding rate</t>
  </si>
  <si>
    <t>Doe cull rate</t>
  </si>
  <si>
    <t>Doe death loss</t>
  </si>
  <si>
    <t>Replacement Does</t>
  </si>
  <si>
    <t>Replacement Bucks</t>
  </si>
  <si>
    <t>Bucks</t>
  </si>
  <si>
    <t>Milking Does</t>
  </si>
  <si>
    <t>Dry Does</t>
  </si>
  <si>
    <t>EBB-DG1-17</t>
  </si>
  <si>
    <t xml:space="preserve">Bucks </t>
  </si>
  <si>
    <t xml:space="preserve">Milking Does </t>
  </si>
  <si>
    <t>Number</t>
  </si>
  <si>
    <t>Buildings &amp; Other Equipment</t>
  </si>
  <si>
    <t>Grain Concentrate</t>
  </si>
  <si>
    <t>Grain/Concentrate</t>
  </si>
  <si>
    <t>Milking Supplies</t>
  </si>
  <si>
    <t>Miscellaneous</t>
  </si>
  <si>
    <t>Working Table</t>
  </si>
  <si>
    <t>Kidding Shed</t>
  </si>
  <si>
    <t>Milking Parlor</t>
  </si>
  <si>
    <t>Pens</t>
  </si>
  <si>
    <t>Pickup 4X4 1/2 ton</t>
  </si>
  <si>
    <t>ATV</t>
  </si>
  <si>
    <t>Skid Steer</t>
  </si>
  <si>
    <t>Machinery &amp; Vehicles</t>
  </si>
  <si>
    <t>Grain Concentrate (lb)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</si>
</sst>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</numFmts>
  <fonts count="17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u/>
      <sz val="14"/>
      <name val="Arial"/>
      <family val="2"/>
    </font>
    <font>
      <sz val="14"/>
      <color rgb="FFFF0000"/>
      <name val="Arial"/>
      <family val="2"/>
    </font>
    <font>
      <b/>
      <sz val="20"/>
      <name val="Arial"/>
      <family val="2"/>
    </font>
    <font>
      <sz val="14"/>
      <color rgb="FF0000CC"/>
      <name val="Arial"/>
      <family val="2"/>
    </font>
    <font>
      <b/>
      <sz val="14"/>
      <color rgb="FF0000CC"/>
      <name val="Arial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12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7">
    <xf numFmtId="0" fontId="0" fillId="0" borderId="0" xfId="0"/>
    <xf numFmtId="0" fontId="5" fillId="0" borderId="9" xfId="2" applyFont="1" applyFill="1" applyBorder="1" applyAlignment="1" applyProtection="1">
      <alignment horizontal="left" vertical="center"/>
      <protection locked="0"/>
    </xf>
    <xf numFmtId="0" fontId="7" fillId="0" borderId="10" xfId="2" applyFont="1" applyBorder="1" applyAlignment="1" applyProtection="1">
      <alignment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9" xfId="2" applyFont="1" applyBorder="1" applyAlignment="1" applyProtection="1">
      <alignment horizontal="center" vertical="center"/>
      <protection locked="0"/>
    </xf>
    <xf numFmtId="39" fontId="3" fillId="0" borderId="9" xfId="3" applyNumberFormat="1" applyFont="1" applyBorder="1" applyAlignment="1" applyProtection="1">
      <alignment horizontal="right" vertical="center"/>
      <protection locked="0"/>
    </xf>
    <xf numFmtId="0" fontId="7" fillId="0" borderId="9" xfId="2" applyFont="1" applyBorder="1" applyAlignment="1" applyProtection="1">
      <alignment vertical="center"/>
      <protection locked="0"/>
    </xf>
    <xf numFmtId="3" fontId="7" fillId="0" borderId="9" xfId="2" applyNumberFormat="1" applyFont="1" applyBorder="1" applyAlignment="1" applyProtection="1">
      <alignment horizontal="center" vertical="center"/>
      <protection locked="0"/>
    </xf>
    <xf numFmtId="4" fontId="7" fillId="0" borderId="9" xfId="1" applyNumberFormat="1" applyFont="1" applyBorder="1" applyAlignment="1" applyProtection="1">
      <alignment horizontal="right" vertical="center"/>
      <protection locked="0"/>
    </xf>
    <xf numFmtId="0" fontId="7" fillId="0" borderId="21" xfId="2" applyFont="1" applyFill="1" applyBorder="1" applyAlignment="1" applyProtection="1">
      <alignment horizontal="center" vertical="center"/>
      <protection locked="0"/>
    </xf>
    <xf numFmtId="3" fontId="7" fillId="0" borderId="21" xfId="2" applyNumberFormat="1" applyFont="1" applyBorder="1" applyAlignment="1" applyProtection="1">
      <alignment horizontal="center" vertical="center"/>
      <protection locked="0"/>
    </xf>
    <xf numFmtId="4" fontId="7" fillId="0" borderId="21" xfId="1" applyNumberFormat="1" applyFont="1" applyBorder="1" applyAlignment="1" applyProtection="1">
      <alignment horizontal="right" vertical="center"/>
      <protection locked="0"/>
    </xf>
    <xf numFmtId="166" fontId="7" fillId="0" borderId="9" xfId="2" applyNumberFormat="1" applyFont="1" applyBorder="1" applyAlignment="1" applyProtection="1">
      <alignment horizontal="center" vertical="center"/>
      <protection locked="0"/>
    </xf>
    <xf numFmtId="10" fontId="3" fillId="0" borderId="9" xfId="6" applyNumberFormat="1" applyFont="1" applyBorder="1" applyAlignment="1" applyProtection="1">
      <alignment horizontal="right" vertical="center"/>
      <protection locked="0"/>
    </xf>
    <xf numFmtId="164" fontId="7" fillId="0" borderId="9" xfId="1" applyNumberFormat="1" applyFont="1" applyBorder="1" applyAlignment="1" applyProtection="1">
      <alignment horizontal="center" vertical="center"/>
      <protection locked="0"/>
    </xf>
    <xf numFmtId="10" fontId="7" fillId="0" borderId="9" xfId="6" applyNumberFormat="1" applyFont="1" applyBorder="1" applyAlignment="1" applyProtection="1">
      <alignment horizontal="right" vertical="center"/>
      <protection locked="0"/>
    </xf>
    <xf numFmtId="0" fontId="5" fillId="3" borderId="0" xfId="2" applyFont="1" applyFill="1" applyBorder="1" applyAlignment="1" applyProtection="1">
      <alignment vertical="center"/>
    </xf>
    <xf numFmtId="0" fontId="5" fillId="3" borderId="0" xfId="2" applyFont="1" applyFill="1" applyBorder="1" applyAlignment="1" applyProtection="1">
      <alignment horizontal="right" vertical="center"/>
    </xf>
    <xf numFmtId="0" fontId="5" fillId="3" borderId="0" xfId="2" applyFont="1" applyFill="1" applyBorder="1" applyAlignment="1" applyProtection="1">
      <alignment horizontal="left" vertical="center"/>
    </xf>
    <xf numFmtId="165" fontId="5" fillId="3" borderId="3" xfId="2" applyNumberFormat="1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2" borderId="0" xfId="2" applyFont="1" applyFill="1" applyAlignment="1" applyProtection="1">
      <alignment vertical="center"/>
    </xf>
    <xf numFmtId="0" fontId="7" fillId="2" borderId="0" xfId="2" applyFont="1" applyFill="1" applyAlignment="1" applyProtection="1">
      <alignment horizontal="center" vertical="center"/>
    </xf>
    <xf numFmtId="0" fontId="7" fillId="2" borderId="0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" xfId="2" applyFont="1" applyFill="1" applyBorder="1" applyAlignment="1" applyProtection="1">
      <alignment vertical="center"/>
    </xf>
    <xf numFmtId="0" fontId="7" fillId="3" borderId="1" xfId="2" applyFont="1" applyFill="1" applyBorder="1" applyAlignment="1" applyProtection="1">
      <alignment horizontal="center" vertical="center"/>
    </xf>
    <xf numFmtId="0" fontId="7" fillId="3" borderId="12" xfId="2" applyFont="1" applyFill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12" fillId="2" borderId="0" xfId="2" applyFont="1" applyFill="1" applyBorder="1" applyAlignment="1" applyProtection="1">
      <alignment vertical="top" wrapText="1"/>
    </xf>
    <xf numFmtId="0" fontId="7" fillId="0" borderId="0" xfId="2" applyFont="1" applyAlignment="1" applyProtection="1">
      <alignment vertical="center"/>
    </xf>
    <xf numFmtId="0" fontId="7" fillId="3" borderId="13" xfId="2" applyFont="1" applyFill="1" applyBorder="1" applyAlignment="1" applyProtection="1">
      <alignment vertical="center"/>
    </xf>
    <xf numFmtId="0" fontId="7" fillId="3" borderId="14" xfId="2" applyFont="1" applyFill="1" applyBorder="1" applyAlignment="1" applyProtection="1">
      <alignment vertical="center"/>
    </xf>
    <xf numFmtId="0" fontId="5" fillId="3" borderId="13" xfId="2" applyFont="1" applyFill="1" applyBorder="1" applyAlignment="1" applyProtection="1">
      <alignment vertical="center"/>
    </xf>
    <xf numFmtId="0" fontId="5" fillId="3" borderId="14" xfId="2" applyFont="1" applyFill="1" applyBorder="1" applyAlignment="1" applyProtection="1">
      <alignment horizontal="left" vertical="center"/>
    </xf>
    <xf numFmtId="0" fontId="5" fillId="2" borderId="0" xfId="2" applyFont="1" applyFill="1" applyBorder="1" applyAlignment="1" applyProtection="1">
      <alignment horizontal="left" vertical="center"/>
    </xf>
    <xf numFmtId="0" fontId="7" fillId="3" borderId="15" xfId="2" applyFont="1" applyFill="1" applyBorder="1" applyAlignment="1" applyProtection="1">
      <alignment vertical="center"/>
    </xf>
    <xf numFmtId="0" fontId="7" fillId="3" borderId="2" xfId="2" applyFont="1" applyFill="1" applyBorder="1" applyAlignment="1" applyProtection="1">
      <alignment horizontal="center" vertical="center"/>
    </xf>
    <xf numFmtId="0" fontId="7" fillId="3" borderId="16" xfId="2" applyFont="1" applyFill="1" applyBorder="1" applyAlignment="1" applyProtection="1">
      <alignment vertical="center"/>
    </xf>
    <xf numFmtId="165" fontId="5" fillId="3" borderId="5" xfId="2" applyNumberFormat="1" applyFont="1" applyFill="1" applyBorder="1" applyAlignment="1" applyProtection="1">
      <alignment horizontal="left" vertical="center"/>
    </xf>
    <xf numFmtId="1" fontId="5" fillId="3" borderId="5" xfId="2" applyNumberFormat="1" applyFont="1" applyFill="1" applyBorder="1" applyAlignment="1" applyProtection="1">
      <alignment horizontal="center" vertical="center"/>
    </xf>
    <xf numFmtId="165" fontId="8" fillId="3" borderId="5" xfId="2" applyNumberFormat="1" applyFont="1" applyFill="1" applyBorder="1" applyAlignment="1" applyProtection="1">
      <alignment horizontal="center" vertical="center"/>
    </xf>
    <xf numFmtId="165" fontId="5" fillId="3" borderId="5" xfId="2" applyNumberFormat="1" applyFont="1" applyFill="1" applyBorder="1" applyAlignment="1" applyProtection="1">
      <alignment horizontal="center" vertical="center"/>
    </xf>
    <xf numFmtId="1" fontId="5" fillId="4" borderId="5" xfId="2" applyNumberFormat="1" applyFont="1" applyFill="1" applyBorder="1" applyAlignment="1" applyProtection="1">
      <alignment horizontal="center" vertical="center"/>
    </xf>
    <xf numFmtId="165" fontId="8" fillId="4" borderId="5" xfId="2" applyNumberFormat="1" applyFont="1" applyFill="1" applyBorder="1" applyAlignment="1" applyProtection="1">
      <alignment horizontal="center" vertical="center"/>
    </xf>
    <xf numFmtId="165" fontId="8" fillId="3" borderId="14" xfId="2" applyNumberFormat="1" applyFont="1" applyFill="1" applyBorder="1" applyAlignment="1" applyProtection="1">
      <alignment horizontal="center" vertical="center"/>
    </xf>
    <xf numFmtId="165" fontId="8" fillId="2" borderId="0" xfId="2" applyNumberFormat="1" applyFont="1" applyFill="1" applyBorder="1" applyAlignment="1" applyProtection="1">
      <alignment horizontal="center" vertical="center"/>
    </xf>
    <xf numFmtId="165" fontId="5" fillId="3" borderId="0" xfId="2" applyNumberFormat="1" applyFont="1" applyFill="1" applyBorder="1" applyAlignment="1" applyProtection="1">
      <alignment horizontal="left" vertical="center"/>
    </xf>
    <xf numFmtId="165" fontId="5" fillId="3" borderId="0" xfId="2" applyNumberFormat="1" applyFont="1" applyFill="1" applyBorder="1" applyAlignment="1" applyProtection="1">
      <alignment horizontal="center" vertical="center"/>
    </xf>
    <xf numFmtId="165" fontId="5" fillId="4" borderId="0" xfId="2" applyNumberFormat="1" applyFont="1" applyFill="1" applyBorder="1" applyAlignment="1" applyProtection="1">
      <alignment horizontal="center" vertical="center"/>
    </xf>
    <xf numFmtId="165" fontId="5" fillId="3" borderId="14" xfId="2" applyNumberFormat="1" applyFont="1" applyFill="1" applyBorder="1" applyAlignment="1" applyProtection="1">
      <alignment horizontal="center" vertical="center"/>
    </xf>
    <xf numFmtId="165" fontId="5" fillId="2" borderId="0" xfId="2" applyNumberFormat="1" applyFont="1" applyFill="1" applyBorder="1" applyAlignment="1" applyProtection="1">
      <alignment horizontal="center" vertical="center"/>
    </xf>
    <xf numFmtId="1" fontId="5" fillId="3" borderId="3" xfId="2" applyNumberFormat="1" applyFont="1" applyFill="1" applyBorder="1" applyAlignment="1" applyProtection="1">
      <alignment horizontal="center" vertical="center"/>
    </xf>
    <xf numFmtId="165" fontId="5" fillId="3" borderId="3" xfId="2" applyNumberFormat="1" applyFont="1" applyFill="1" applyBorder="1" applyAlignment="1" applyProtection="1">
      <alignment horizontal="center" vertical="center"/>
    </xf>
    <xf numFmtId="165" fontId="5" fillId="4" borderId="3" xfId="2" applyNumberFormat="1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vertical="center" wrapText="1"/>
    </xf>
    <xf numFmtId="0" fontId="5" fillId="3" borderId="8" xfId="2" applyFont="1" applyFill="1" applyBorder="1" applyAlignment="1" applyProtection="1">
      <alignment vertical="center"/>
    </xf>
    <xf numFmtId="0" fontId="5" fillId="3" borderId="1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center" vertical="center"/>
    </xf>
    <xf numFmtId="0" fontId="7" fillId="4" borderId="0" xfId="2" applyFont="1" applyFill="1" applyBorder="1" applyAlignment="1" applyProtection="1">
      <alignment vertical="center"/>
    </xf>
    <xf numFmtId="2" fontId="7" fillId="3" borderId="0" xfId="2" applyNumberFormat="1" applyFont="1" applyFill="1" applyBorder="1" applyAlignment="1" applyProtection="1">
      <alignment vertical="center"/>
    </xf>
    <xf numFmtId="39" fontId="3" fillId="3" borderId="0" xfId="3" applyNumberFormat="1" applyFont="1" applyFill="1" applyBorder="1" applyAlignment="1" applyProtection="1">
      <alignment vertical="center"/>
    </xf>
    <xf numFmtId="37" fontId="12" fillId="4" borderId="9" xfId="3" applyNumberFormat="1" applyFont="1" applyFill="1" applyBorder="1" applyAlignment="1" applyProtection="1">
      <alignment vertical="center"/>
    </xf>
    <xf numFmtId="39" fontId="12" fillId="4" borderId="9" xfId="3" applyNumberFormat="1" applyFont="1" applyFill="1" applyBorder="1" applyAlignment="1" applyProtection="1">
      <alignment vertical="center"/>
    </xf>
    <xf numFmtId="39" fontId="3" fillId="3" borderId="14" xfId="3" applyNumberFormat="1" applyFont="1" applyFill="1" applyBorder="1" applyAlignment="1" applyProtection="1">
      <alignment vertical="center"/>
    </xf>
    <xf numFmtId="39" fontId="3" fillId="2" borderId="0" xfId="3" applyNumberFormat="1" applyFont="1" applyFill="1" applyBorder="1" applyAlignment="1" applyProtection="1">
      <alignment vertical="center"/>
    </xf>
    <xf numFmtId="0" fontId="5" fillId="3" borderId="3" xfId="2" applyFont="1" applyFill="1" applyBorder="1" applyAlignment="1" applyProtection="1">
      <alignment vertical="center"/>
    </xf>
    <xf numFmtId="0" fontId="7" fillId="3" borderId="3" xfId="2" applyFont="1" applyFill="1" applyBorder="1" applyAlignment="1" applyProtection="1">
      <alignment vertical="center"/>
    </xf>
    <xf numFmtId="0" fontId="7" fillId="3" borderId="3" xfId="2" applyFont="1" applyFill="1" applyBorder="1" applyAlignment="1" applyProtection="1">
      <alignment horizontal="center" vertical="center"/>
    </xf>
    <xf numFmtId="5" fontId="13" fillId="4" borderId="3" xfId="3" applyNumberFormat="1" applyFont="1" applyFill="1" applyBorder="1" applyAlignment="1" applyProtection="1">
      <alignment vertical="center"/>
    </xf>
    <xf numFmtId="7" fontId="13" fillId="4" borderId="3" xfId="3" applyNumberFormat="1" applyFont="1" applyFill="1" applyBorder="1" applyAlignment="1" applyProtection="1">
      <alignment vertical="center"/>
    </xf>
    <xf numFmtId="7" fontId="4" fillId="3" borderId="14" xfId="3" applyNumberFormat="1" applyFont="1" applyFill="1" applyBorder="1" applyAlignment="1" applyProtection="1">
      <alignment vertical="center"/>
    </xf>
    <xf numFmtId="7" fontId="4" fillId="2" borderId="0" xfId="3" applyNumberFormat="1" applyFont="1" applyFill="1" applyBorder="1" applyAlignment="1" applyProtection="1">
      <alignment vertical="center"/>
    </xf>
    <xf numFmtId="37" fontId="3" fillId="4" borderId="0" xfId="5" applyNumberFormat="1" applyFont="1" applyFill="1" applyBorder="1" applyAlignment="1" applyProtection="1">
      <alignment vertical="center"/>
    </xf>
    <xf numFmtId="39" fontId="3" fillId="4" borderId="0" xfId="3" applyNumberFormat="1" applyFont="1" applyFill="1" applyBorder="1" applyAlignment="1" applyProtection="1">
      <alignment vertical="center"/>
    </xf>
    <xf numFmtId="37" fontId="7" fillId="4" borderId="0" xfId="2" applyNumberFormat="1" applyFont="1" applyFill="1" applyBorder="1" applyAlignment="1" applyProtection="1">
      <alignment vertical="center"/>
    </xf>
    <xf numFmtId="0" fontId="7" fillId="3" borderId="0" xfId="2" applyFont="1" applyFill="1" applyAlignment="1" applyProtection="1">
      <alignment vertical="center"/>
    </xf>
    <xf numFmtId="3" fontId="7" fillId="3" borderId="0" xfId="2" applyNumberFormat="1" applyFont="1" applyFill="1" applyBorder="1" applyAlignment="1" applyProtection="1">
      <alignment horizontal="center" vertical="center"/>
    </xf>
    <xf numFmtId="4" fontId="7" fillId="3" borderId="0" xfId="2" applyNumberFormat="1" applyFont="1" applyFill="1" applyBorder="1" applyAlignment="1" applyProtection="1">
      <alignment horizontal="center" vertical="center"/>
    </xf>
    <xf numFmtId="10" fontId="3" fillId="3" borderId="0" xfId="4" applyNumberFormat="1" applyFont="1" applyFill="1" applyBorder="1" applyAlignment="1" applyProtection="1">
      <alignment vertical="center"/>
    </xf>
    <xf numFmtId="2" fontId="7" fillId="3" borderId="3" xfId="2" applyNumberFormat="1" applyFont="1" applyFill="1" applyBorder="1" applyAlignment="1" applyProtection="1">
      <alignment horizontal="center" vertical="center"/>
    </xf>
    <xf numFmtId="2" fontId="7" fillId="3" borderId="3" xfId="2" applyNumberFormat="1" applyFont="1" applyFill="1" applyBorder="1" applyAlignment="1" applyProtection="1">
      <alignment vertical="center"/>
    </xf>
    <xf numFmtId="5" fontId="13" fillId="4" borderId="3" xfId="2" applyNumberFormat="1" applyFont="1" applyFill="1" applyBorder="1" applyAlignment="1" applyProtection="1">
      <alignment vertical="center"/>
    </xf>
    <xf numFmtId="165" fontId="13" fillId="4" borderId="3" xfId="3" applyNumberFormat="1" applyFont="1" applyFill="1" applyBorder="1" applyAlignment="1" applyProtection="1">
      <alignment vertical="center"/>
    </xf>
    <xf numFmtId="165" fontId="4" fillId="3" borderId="14" xfId="3" applyNumberFormat="1" applyFont="1" applyFill="1" applyBorder="1" applyAlignment="1" applyProtection="1">
      <alignment vertical="center"/>
    </xf>
    <xf numFmtId="165" fontId="4" fillId="2" borderId="0" xfId="3" applyNumberFormat="1" applyFont="1" applyFill="1" applyBorder="1" applyAlignment="1" applyProtection="1">
      <alignment vertical="center"/>
    </xf>
    <xf numFmtId="2" fontId="7" fillId="3" borderId="1" xfId="2" applyNumberFormat="1" applyFont="1" applyFill="1" applyBorder="1" applyAlignment="1" applyProtection="1">
      <alignment horizontal="center" vertical="center"/>
    </xf>
    <xf numFmtId="2" fontId="7" fillId="3" borderId="1" xfId="2" applyNumberFormat="1" applyFont="1" applyFill="1" applyBorder="1" applyAlignment="1" applyProtection="1">
      <alignment vertical="center"/>
    </xf>
    <xf numFmtId="37" fontId="12" fillId="4" borderId="1" xfId="2" applyNumberFormat="1" applyFont="1" applyFill="1" applyBorder="1" applyAlignment="1" applyProtection="1">
      <alignment vertical="center"/>
    </xf>
    <xf numFmtId="39" fontId="12" fillId="4" borderId="6" xfId="3" applyNumberFormat="1" applyFont="1" applyFill="1" applyBorder="1" applyAlignment="1" applyProtection="1">
      <alignment vertical="center"/>
    </xf>
    <xf numFmtId="5" fontId="13" fillId="4" borderId="4" xfId="2" applyNumberFormat="1" applyFont="1" applyFill="1" applyBorder="1" applyAlignment="1" applyProtection="1">
      <alignment vertical="center"/>
    </xf>
    <xf numFmtId="2" fontId="7" fillId="3" borderId="0" xfId="2" applyNumberFormat="1" applyFont="1" applyFill="1" applyBorder="1" applyAlignment="1" applyProtection="1">
      <alignment horizontal="center" vertical="center"/>
    </xf>
    <xf numFmtId="5" fontId="13" fillId="4" borderId="0" xfId="2" applyNumberFormat="1" applyFont="1" applyFill="1" applyBorder="1" applyAlignment="1" applyProtection="1">
      <alignment vertical="center"/>
    </xf>
    <xf numFmtId="165" fontId="13" fillId="4" borderId="0" xfId="3" applyNumberFormat="1" applyFont="1" applyFill="1" applyBorder="1" applyAlignment="1" applyProtection="1">
      <alignment vertical="center"/>
    </xf>
    <xf numFmtId="0" fontId="7" fillId="2" borderId="13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horizontal="center" vertical="center"/>
    </xf>
    <xf numFmtId="2" fontId="7" fillId="2" borderId="0" xfId="2" applyNumberFormat="1" applyFont="1" applyFill="1" applyBorder="1" applyAlignment="1" applyProtection="1">
      <alignment horizontal="center" vertical="center"/>
    </xf>
    <xf numFmtId="2" fontId="7" fillId="2" borderId="0" xfId="2" applyNumberFormat="1" applyFont="1" applyFill="1" applyBorder="1" applyAlignment="1" applyProtection="1">
      <alignment vertical="center"/>
    </xf>
    <xf numFmtId="5" fontId="13" fillId="2" borderId="0" xfId="2" applyNumberFormat="1" applyFont="1" applyFill="1" applyBorder="1" applyAlignment="1" applyProtection="1">
      <alignment vertical="center"/>
    </xf>
    <xf numFmtId="165" fontId="13" fillId="2" borderId="0" xfId="3" applyNumberFormat="1" applyFont="1" applyFill="1" applyBorder="1" applyAlignment="1" applyProtection="1">
      <alignment vertical="center"/>
    </xf>
    <xf numFmtId="165" fontId="4" fillId="2" borderId="14" xfId="3" applyNumberFormat="1" applyFont="1" applyFill="1" applyBorder="1" applyAlignment="1" applyProtection="1">
      <alignment vertical="center"/>
    </xf>
    <xf numFmtId="37" fontId="12" fillId="4" borderId="0" xfId="2" applyNumberFormat="1" applyFont="1" applyFill="1" applyBorder="1" applyAlignment="1" applyProtection="1">
      <alignment vertical="center"/>
    </xf>
    <xf numFmtId="39" fontId="12" fillId="4" borderId="0" xfId="3" applyNumberFormat="1" applyFont="1" applyFill="1" applyBorder="1" applyAlignment="1" applyProtection="1">
      <alignment vertical="center"/>
    </xf>
    <xf numFmtId="0" fontId="9" fillId="3" borderId="3" xfId="2" applyFont="1" applyFill="1" applyBorder="1" applyAlignment="1" applyProtection="1">
      <alignment vertical="center"/>
    </xf>
    <xf numFmtId="37" fontId="12" fillId="4" borderId="9" xfId="2" applyNumberFormat="1" applyFont="1" applyFill="1" applyBorder="1" applyAlignment="1" applyProtection="1">
      <alignment vertical="center"/>
    </xf>
    <xf numFmtId="39" fontId="12" fillId="4" borderId="2" xfId="3" applyNumberFormat="1" applyFont="1" applyFill="1" applyBorder="1" applyAlignment="1" applyProtection="1">
      <alignment vertical="center"/>
    </xf>
    <xf numFmtId="165" fontId="13" fillId="4" borderId="4" xfId="3" applyNumberFormat="1" applyFont="1" applyFill="1" applyBorder="1" applyAlignment="1" applyProtection="1">
      <alignment vertical="center"/>
    </xf>
    <xf numFmtId="0" fontId="7" fillId="3" borderId="17" xfId="2" applyFont="1" applyFill="1" applyBorder="1" applyAlignment="1" applyProtection="1">
      <alignment vertical="center"/>
    </xf>
    <xf numFmtId="0" fontId="7" fillId="3" borderId="18" xfId="2" applyFont="1" applyFill="1" applyBorder="1" applyAlignment="1" applyProtection="1">
      <alignment vertical="center"/>
    </xf>
    <xf numFmtId="0" fontId="7" fillId="0" borderId="0" xfId="2" applyFont="1" applyAlignment="1" applyProtection="1">
      <alignment horizontal="center" vertical="center"/>
    </xf>
    <xf numFmtId="0" fontId="7" fillId="2" borderId="11" xfId="2" applyFont="1" applyFill="1" applyBorder="1" applyAlignment="1" applyProtection="1">
      <alignment vertical="center"/>
      <protection locked="0"/>
    </xf>
    <xf numFmtId="0" fontId="7" fillId="2" borderId="13" xfId="2" applyFont="1" applyFill="1" applyBorder="1" applyAlignment="1" applyProtection="1">
      <alignment vertical="center"/>
      <protection locked="0"/>
    </xf>
    <xf numFmtId="9" fontId="7" fillId="2" borderId="13" xfId="2" applyNumberFormat="1" applyFont="1" applyFill="1" applyBorder="1" applyAlignment="1" applyProtection="1">
      <alignment vertical="center"/>
      <protection locked="0"/>
    </xf>
    <xf numFmtId="9" fontId="7" fillId="2" borderId="17" xfId="2" applyNumberFormat="1" applyFont="1" applyFill="1" applyBorder="1" applyAlignment="1" applyProtection="1">
      <alignment vertical="center"/>
      <protection locked="0"/>
    </xf>
    <xf numFmtId="0" fontId="7" fillId="2" borderId="12" xfId="2" applyFont="1" applyFill="1" applyBorder="1" applyAlignment="1" applyProtection="1">
      <alignment vertical="center"/>
      <protection locked="0"/>
    </xf>
    <xf numFmtId="0" fontId="7" fillId="2" borderId="14" xfId="2" applyFont="1" applyFill="1" applyBorder="1" applyAlignment="1" applyProtection="1">
      <alignment vertical="center"/>
      <protection locked="0"/>
    </xf>
    <xf numFmtId="0" fontId="7" fillId="2" borderId="18" xfId="2" applyFont="1" applyFill="1" applyBorder="1" applyAlignment="1" applyProtection="1">
      <alignment vertical="center"/>
      <protection locked="0"/>
    </xf>
    <xf numFmtId="0" fontId="11" fillId="3" borderId="0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5" fillId="2" borderId="5" xfId="2" applyFont="1" applyFill="1" applyBorder="1" applyAlignment="1" applyProtection="1">
      <alignment horizontal="left" vertical="center"/>
      <protection locked="0"/>
    </xf>
    <xf numFmtId="0" fontId="7" fillId="2" borderId="5" xfId="2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5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2" borderId="3" xfId="2" applyFont="1" applyFill="1" applyBorder="1" applyAlignment="1">
      <alignment vertical="center"/>
    </xf>
    <xf numFmtId="165" fontId="5" fillId="2" borderId="3" xfId="2" applyNumberFormat="1" applyFont="1" applyFill="1" applyBorder="1" applyAlignment="1">
      <alignment horizontal="left" vertical="center"/>
    </xf>
    <xf numFmtId="1" fontId="5" fillId="2" borderId="3" xfId="2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0" borderId="0" xfId="0" applyFont="1" applyFill="1"/>
    <xf numFmtId="0" fontId="4" fillId="2" borderId="0" xfId="0" applyFont="1" applyFill="1" applyBorder="1"/>
    <xf numFmtId="0" fontId="7" fillId="2" borderId="0" xfId="2" applyFont="1" applyFill="1" applyBorder="1" applyProtection="1">
      <protection locked="0"/>
    </xf>
    <xf numFmtId="3" fontId="3" fillId="2" borderId="0" xfId="0" applyNumberFormat="1" applyFont="1" applyFill="1" applyBorder="1"/>
    <xf numFmtId="3" fontId="4" fillId="2" borderId="0" xfId="0" applyNumberFormat="1" applyFont="1" applyFill="1" applyBorder="1"/>
    <xf numFmtId="0" fontId="4" fillId="2" borderId="0" xfId="0" applyFont="1" applyFill="1"/>
    <xf numFmtId="0" fontId="5" fillId="2" borderId="0" xfId="2" applyFont="1" applyFill="1" applyBorder="1" applyProtection="1">
      <protection locked="0"/>
    </xf>
    <xf numFmtId="0" fontId="4" fillId="0" borderId="0" xfId="0" applyFont="1" applyFill="1"/>
    <xf numFmtId="0" fontId="4" fillId="2" borderId="2" xfId="0" applyFont="1" applyFill="1" applyBorder="1"/>
    <xf numFmtId="0" fontId="7" fillId="2" borderId="2" xfId="2" applyFont="1" applyFill="1" applyBorder="1" applyProtection="1">
      <protection locked="0"/>
    </xf>
    <xf numFmtId="0" fontId="3" fillId="2" borderId="2" xfId="0" applyFont="1" applyFill="1" applyBorder="1"/>
    <xf numFmtId="0" fontId="7" fillId="2" borderId="0" xfId="2" applyFont="1" applyFill="1" applyBorder="1" applyAlignment="1" applyProtection="1">
      <protection locked="0"/>
    </xf>
    <xf numFmtId="3" fontId="7" fillId="2" borderId="0" xfId="2" applyNumberFormat="1" applyFont="1" applyFill="1" applyBorder="1" applyAlignment="1" applyProtection="1">
      <protection locked="0"/>
    </xf>
    <xf numFmtId="3" fontId="3" fillId="0" borderId="0" xfId="0" applyNumberFormat="1" applyFont="1" applyFill="1"/>
    <xf numFmtId="0" fontId="5" fillId="2" borderId="5" xfId="2" applyFont="1" applyFill="1" applyBorder="1" applyAlignment="1" applyProtection="1">
      <alignment vertical="center"/>
      <protection locked="0"/>
    </xf>
    <xf numFmtId="0" fontId="5" fillId="2" borderId="5" xfId="2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3" xfId="2" applyFont="1" applyFill="1" applyBorder="1" applyAlignment="1">
      <alignment vertical="center"/>
    </xf>
    <xf numFmtId="165" fontId="5" fillId="2" borderId="3" xfId="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5" xfId="2" applyFont="1" applyFill="1" applyBorder="1" applyAlignment="1" applyProtection="1">
      <alignment horizontal="center" vertical="center"/>
      <protection locked="0"/>
    </xf>
    <xf numFmtId="1" fontId="5" fillId="2" borderId="3" xfId="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/>
    <xf numFmtId="167" fontId="16" fillId="0" borderId="0" xfId="0" applyNumberFormat="1" applyFont="1" applyAlignment="1">
      <alignment horizontal="center"/>
    </xf>
    <xf numFmtId="4" fontId="3" fillId="2" borderId="0" xfId="0" applyNumberFormat="1" applyFont="1" applyFill="1" applyBorder="1"/>
    <xf numFmtId="8" fontId="3" fillId="2" borderId="0" xfId="0" applyNumberFormat="1" applyFont="1" applyFill="1" applyBorder="1"/>
    <xf numFmtId="0" fontId="3" fillId="0" borderId="0" xfId="0" applyFont="1"/>
    <xf numFmtId="166" fontId="4" fillId="2" borderId="0" xfId="0" applyNumberFormat="1" applyFont="1" applyFill="1" applyBorder="1"/>
    <xf numFmtId="165" fontId="4" fillId="2" borderId="0" xfId="0" applyNumberFormat="1" applyFont="1" applyFill="1" applyBorder="1"/>
    <xf numFmtId="0" fontId="3" fillId="2" borderId="5" xfId="0" applyFont="1" applyFill="1" applyBorder="1"/>
    <xf numFmtId="8" fontId="3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top"/>
    </xf>
    <xf numFmtId="4" fontId="4" fillId="2" borderId="0" xfId="0" applyNumberFormat="1" applyFont="1" applyFill="1" applyBorder="1"/>
    <xf numFmtId="8" fontId="4" fillId="2" borderId="0" xfId="0" applyNumberFormat="1" applyFont="1" applyFill="1" applyBorder="1"/>
    <xf numFmtId="3" fontId="3" fillId="2" borderId="2" xfId="0" applyNumberFormat="1" applyFont="1" applyFill="1" applyBorder="1"/>
    <xf numFmtId="4" fontId="3" fillId="2" borderId="2" xfId="0" applyNumberFormat="1" applyFont="1" applyFill="1" applyBorder="1"/>
    <xf numFmtId="8" fontId="3" fillId="2" borderId="5" xfId="0" applyNumberFormat="1" applyFont="1" applyFill="1" applyBorder="1"/>
    <xf numFmtId="165" fontId="4" fillId="2" borderId="0" xfId="0" applyNumberFormat="1" applyFont="1" applyFill="1" applyBorder="1" applyAlignment="1"/>
    <xf numFmtId="0" fontId="15" fillId="2" borderId="0" xfId="0" applyFont="1" applyFill="1" applyAlignment="1">
      <alignment horizontal="right" vertical="top"/>
    </xf>
    <xf numFmtId="0" fontId="1" fillId="2" borderId="0" xfId="0" applyFont="1" applyFill="1"/>
    <xf numFmtId="8" fontId="3" fillId="2" borderId="0" xfId="0" applyNumberFormat="1" applyFont="1" applyFill="1"/>
    <xf numFmtId="8" fontId="3" fillId="0" borderId="0" xfId="0" applyNumberFormat="1" applyFont="1"/>
    <xf numFmtId="0" fontId="3" fillId="0" borderId="0" xfId="0" applyFont="1" applyAlignment="1">
      <alignment horizontal="center"/>
    </xf>
    <xf numFmtId="1" fontId="7" fillId="3" borderId="0" xfId="2" applyNumberFormat="1" applyFont="1" applyFill="1" applyBorder="1" applyAlignment="1" applyProtection="1">
      <alignment horizontal="center" vertical="center"/>
      <protection locked="0"/>
    </xf>
    <xf numFmtId="4" fontId="7" fillId="0" borderId="9" xfId="2" applyNumberFormat="1" applyFont="1" applyBorder="1" applyAlignment="1" applyProtection="1">
      <alignment horizontal="center" vertical="center"/>
      <protection locked="0"/>
    </xf>
    <xf numFmtId="4" fontId="7" fillId="0" borderId="9" xfId="1" applyNumberFormat="1" applyFont="1" applyFill="1" applyBorder="1" applyAlignment="1" applyProtection="1">
      <alignment horizontal="right" vertical="center"/>
      <protection locked="0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0" fontId="7" fillId="3" borderId="0" xfId="2" applyFont="1" applyFill="1" applyBorder="1" applyAlignment="1" applyProtection="1">
      <alignment horizontal="left" vertical="center"/>
    </xf>
    <xf numFmtId="0" fontId="7" fillId="0" borderId="9" xfId="2" applyFont="1" applyBorder="1" applyAlignment="1" applyProtection="1">
      <alignment horizontal="left" vertical="center"/>
      <protection locked="0"/>
    </xf>
    <xf numFmtId="0" fontId="7" fillId="0" borderId="19" xfId="2" applyFont="1" applyBorder="1" applyAlignment="1" applyProtection="1">
      <alignment horizontal="left" vertical="center"/>
      <protection locked="0"/>
    </xf>
    <xf numFmtId="0" fontId="7" fillId="0" borderId="7" xfId="2" applyFont="1" applyBorder="1" applyAlignment="1" applyProtection="1">
      <alignment horizontal="left" vertical="center"/>
      <protection locked="0"/>
    </xf>
    <xf numFmtId="0" fontId="7" fillId="0" borderId="20" xfId="2" applyFont="1" applyBorder="1" applyAlignment="1" applyProtection="1">
      <alignment horizontal="left" vertical="center"/>
      <protection locked="0"/>
    </xf>
    <xf numFmtId="0" fontId="11" fillId="3" borderId="0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/>
    </xf>
    <xf numFmtId="0" fontId="12" fillId="2" borderId="11" xfId="2" applyFont="1" applyFill="1" applyBorder="1" applyAlignment="1" applyProtection="1">
      <alignment horizontal="left" vertical="top" wrapText="1"/>
    </xf>
    <xf numFmtId="0" fontId="12" fillId="2" borderId="1" xfId="2" applyFont="1" applyFill="1" applyBorder="1" applyAlignment="1" applyProtection="1">
      <alignment horizontal="left" vertical="top" wrapText="1"/>
    </xf>
    <xf numFmtId="0" fontId="12" fillId="2" borderId="12" xfId="2" applyFont="1" applyFill="1" applyBorder="1" applyAlignment="1" applyProtection="1">
      <alignment horizontal="left" vertical="top" wrapText="1"/>
    </xf>
    <xf numFmtId="0" fontId="12" fillId="2" borderId="13" xfId="2" applyFont="1" applyFill="1" applyBorder="1" applyAlignment="1" applyProtection="1">
      <alignment horizontal="left" vertical="top" wrapText="1"/>
    </xf>
    <xf numFmtId="0" fontId="12" fillId="2" borderId="0" xfId="2" applyFont="1" applyFill="1" applyBorder="1" applyAlignment="1" applyProtection="1">
      <alignment horizontal="left" vertical="top" wrapText="1"/>
    </xf>
    <xf numFmtId="0" fontId="12" fillId="2" borderId="14" xfId="2" applyFont="1" applyFill="1" applyBorder="1" applyAlignment="1" applyProtection="1">
      <alignment horizontal="left" vertical="top" wrapText="1"/>
    </xf>
    <xf numFmtId="0" fontId="12" fillId="2" borderId="17" xfId="2" applyFont="1" applyFill="1" applyBorder="1" applyAlignment="1" applyProtection="1">
      <alignment horizontal="left" vertical="top" wrapText="1"/>
    </xf>
    <xf numFmtId="0" fontId="12" fillId="2" borderId="3" xfId="2" applyFont="1" applyFill="1" applyBorder="1" applyAlignment="1" applyProtection="1">
      <alignment horizontal="left" vertical="top" wrapText="1"/>
    </xf>
    <xf numFmtId="0" fontId="12" fillId="2" borderId="18" xfId="2" applyFont="1" applyFill="1" applyBorder="1" applyAlignment="1" applyProtection="1">
      <alignment horizontal="left" vertical="top" wrapText="1"/>
    </xf>
    <xf numFmtId="0" fontId="5" fillId="0" borderId="19" xfId="2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 applyProtection="1">
      <alignment horizontal="center" vertical="center" wrapText="1"/>
      <protection locked="0"/>
    </xf>
    <xf numFmtId="0" fontId="5" fillId="0" borderId="20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left" vertical="center"/>
    </xf>
    <xf numFmtId="0" fontId="7" fillId="3" borderId="2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horizontal="center"/>
    </xf>
    <xf numFmtId="0" fontId="7" fillId="0" borderId="10" xfId="2" applyFont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7">
    <cellStyle name="Comma" xfId="1" builtinId="3"/>
    <cellStyle name="Comma 2" xfId="5" xr:uid="{00000000-0005-0000-0000-000001000000}"/>
    <cellStyle name="Currency 2" xfId="3" xr:uid="{00000000-0005-0000-0000-000002000000}"/>
    <cellStyle name="Normal" xfId="0" builtinId="0"/>
    <cellStyle name="Normal 2" xfId="2" xr:uid="{00000000-0005-0000-0000-000004000000}"/>
    <cellStyle name="Percent" xfId="6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00FF00"/>
      <color rgb="FF0000CC"/>
      <color rgb="FF99CCFF"/>
      <color rgb="FF99FF66"/>
      <color rgb="FFC5F1FF"/>
      <color rgb="FFCCFFFF"/>
      <color rgb="FFCCFFCC"/>
      <color rgb="FFCC00CC"/>
      <color rgb="FFFF9900"/>
      <color rgb="FFADD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18</xdr:row>
      <xdr:rowOff>0</xdr:rowOff>
    </xdr:from>
    <xdr:to>
      <xdr:col>18</xdr:col>
      <xdr:colOff>345281</xdr:colOff>
      <xdr:row>23</xdr:row>
      <xdr:rowOff>92869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592C7C-EA0A-480E-806F-FB2AB2D1D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7469" y="4667250"/>
          <a:ext cx="2536031" cy="152161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19</xdr:col>
      <xdr:colOff>23813</xdr:colOff>
      <xdr:row>25</xdr:row>
      <xdr:rowOff>218417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91D8A8-1AF3-4BAC-8C72-BB9ACF914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7469" y="6096000"/>
          <a:ext cx="2905125" cy="789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.cals.uidaho.edu/idahoagbiz/files/2015/06/2014-Cow-calf-budgets_updated24June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put Prices"/>
      <sheetName val="CC1"/>
      <sheetName val="CC2"/>
      <sheetName val="CC3"/>
      <sheetName val="CC4"/>
      <sheetName val="CC5"/>
    </sheetNames>
    <sheetDataSet>
      <sheetData sheetId="0"/>
      <sheetData sheetId="1">
        <row r="6">
          <cell r="C6">
            <v>180</v>
          </cell>
        </row>
        <row r="7">
          <cell r="C7">
            <v>10.43</v>
          </cell>
        </row>
        <row r="8">
          <cell r="C8">
            <v>1.35</v>
          </cell>
        </row>
        <row r="9">
          <cell r="C9">
            <v>6.89</v>
          </cell>
        </row>
        <row r="10">
          <cell r="C10">
            <v>25</v>
          </cell>
        </row>
        <row r="11">
          <cell r="C11">
            <v>25</v>
          </cell>
        </row>
        <row r="12">
          <cell r="C12">
            <v>20</v>
          </cell>
        </row>
        <row r="13">
          <cell r="C13">
            <v>0.13</v>
          </cell>
        </row>
        <row r="14">
          <cell r="C14">
            <v>0.25</v>
          </cell>
        </row>
        <row r="17">
          <cell r="C17">
            <v>2.71</v>
          </cell>
        </row>
        <row r="20">
          <cell r="C20">
            <v>23.47</v>
          </cell>
        </row>
        <row r="21">
          <cell r="C21">
            <v>11.53</v>
          </cell>
        </row>
        <row r="25">
          <cell r="C25">
            <v>4.7500000000000001E-2</v>
          </cell>
        </row>
        <row r="26">
          <cell r="C26">
            <v>3.6249999999999998E-2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  <pageSetUpPr fitToPage="1"/>
  </sheetPr>
  <dimension ref="A1:AB109"/>
  <sheetViews>
    <sheetView tabSelected="1" zoomScale="80" zoomScaleNormal="80" workbookViewId="0">
      <selection activeCell="U18" sqref="U18"/>
    </sheetView>
  </sheetViews>
  <sheetFormatPr defaultRowHeight="18" x14ac:dyDescent="0.25"/>
  <cols>
    <col min="1" max="1" width="2.5" style="21" customWidth="1"/>
    <col min="2" max="2" width="1.25" style="30" customWidth="1"/>
    <col min="3" max="3" width="31.375" style="30" customWidth="1"/>
    <col min="4" max="4" width="1.25" style="30" customWidth="1"/>
    <col min="5" max="5" width="12.5" style="30" customWidth="1"/>
    <col min="6" max="6" width="1.25" style="30" customWidth="1"/>
    <col min="7" max="7" width="12.5" style="110" customWidth="1"/>
    <col min="8" max="8" width="1.25" style="110" customWidth="1"/>
    <col min="9" max="9" width="16.5" style="110" customWidth="1"/>
    <col min="10" max="10" width="1.25" style="110" customWidth="1"/>
    <col min="11" max="11" width="12.5" style="110" customWidth="1"/>
    <col min="12" max="12" width="1.25" style="30" customWidth="1"/>
    <col min="13" max="14" width="17.5" style="30" customWidth="1"/>
    <col min="15" max="15" width="1.875" style="30" customWidth="1"/>
    <col min="16" max="16" width="1.875" style="23" customWidth="1"/>
    <col min="17" max="17" width="9" style="21"/>
    <col min="18" max="18" width="19.625" style="21" bestFit="1" customWidth="1"/>
    <col min="19" max="28" width="9" style="21"/>
    <col min="29" max="16384" width="9" style="30"/>
  </cols>
  <sheetData>
    <row r="1" spans="2:20" s="21" customFormat="1" ht="15" customHeight="1" thickBot="1" x14ac:dyDescent="0.3">
      <c r="G1" s="22"/>
      <c r="H1" s="22"/>
      <c r="I1" s="22"/>
      <c r="J1" s="22"/>
      <c r="K1" s="22"/>
      <c r="P1" s="23"/>
    </row>
    <row r="2" spans="2:20" ht="7.5" customHeight="1" x14ac:dyDescent="0.25">
      <c r="B2" s="24"/>
      <c r="C2" s="25"/>
      <c r="D2" s="25"/>
      <c r="E2" s="25"/>
      <c r="F2" s="25"/>
      <c r="G2" s="26"/>
      <c r="H2" s="26"/>
      <c r="I2" s="26"/>
      <c r="J2" s="26"/>
      <c r="K2" s="26"/>
      <c r="L2" s="25"/>
      <c r="M2" s="25"/>
      <c r="N2" s="25"/>
      <c r="O2" s="27"/>
      <c r="Q2" s="28"/>
      <c r="R2" s="29"/>
      <c r="S2" s="29"/>
      <c r="T2" s="29"/>
    </row>
    <row r="3" spans="2:20" ht="30" customHeight="1" thickBot="1" x14ac:dyDescent="0.3">
      <c r="B3" s="31"/>
      <c r="C3" s="191" t="s">
        <v>38</v>
      </c>
      <c r="D3" s="191"/>
      <c r="E3" s="191"/>
      <c r="F3" s="191"/>
      <c r="G3" s="191"/>
      <c r="H3" s="191"/>
      <c r="I3" s="191"/>
      <c r="J3" s="191"/>
      <c r="K3" s="191"/>
      <c r="L3" s="16"/>
      <c r="M3" s="17" t="s">
        <v>35</v>
      </c>
      <c r="N3" s="1">
        <v>2017</v>
      </c>
      <c r="O3" s="32"/>
      <c r="Q3" s="192" t="s">
        <v>37</v>
      </c>
      <c r="R3" s="192"/>
      <c r="S3" s="192"/>
      <c r="T3" s="192"/>
    </row>
    <row r="4" spans="2:20" ht="7.5" customHeight="1" x14ac:dyDescent="0.25">
      <c r="B4" s="31"/>
      <c r="C4" s="118"/>
      <c r="D4" s="118"/>
      <c r="E4" s="118"/>
      <c r="F4" s="118"/>
      <c r="G4" s="118"/>
      <c r="H4" s="118"/>
      <c r="I4" s="118"/>
      <c r="J4" s="118"/>
      <c r="K4" s="118"/>
      <c r="L4" s="16"/>
      <c r="M4" s="17"/>
      <c r="N4" s="18"/>
      <c r="O4" s="32"/>
      <c r="Q4" s="193" t="s">
        <v>36</v>
      </c>
      <c r="R4" s="194"/>
      <c r="S4" s="194"/>
      <c r="T4" s="195"/>
    </row>
    <row r="5" spans="2:20" ht="30" customHeight="1" x14ac:dyDescent="0.25">
      <c r="B5" s="33"/>
      <c r="C5" s="202" t="s">
        <v>40</v>
      </c>
      <c r="D5" s="203"/>
      <c r="E5" s="203"/>
      <c r="F5" s="203"/>
      <c r="G5" s="203"/>
      <c r="H5" s="203"/>
      <c r="I5" s="203"/>
      <c r="J5" s="203"/>
      <c r="K5" s="204"/>
      <c r="L5" s="16"/>
      <c r="M5" s="17" t="s">
        <v>39</v>
      </c>
      <c r="N5" s="1">
        <v>200</v>
      </c>
      <c r="O5" s="34"/>
      <c r="P5" s="35"/>
      <c r="Q5" s="196"/>
      <c r="R5" s="197"/>
      <c r="S5" s="197"/>
      <c r="T5" s="198"/>
    </row>
    <row r="6" spans="2:20" ht="7.5" customHeight="1" x14ac:dyDescent="0.25">
      <c r="B6" s="36"/>
      <c r="C6" s="205"/>
      <c r="D6" s="205"/>
      <c r="E6" s="206"/>
      <c r="F6" s="206"/>
      <c r="G6" s="206"/>
      <c r="H6" s="119"/>
      <c r="I6" s="37"/>
      <c r="J6" s="37"/>
      <c r="K6" s="37"/>
      <c r="L6" s="119"/>
      <c r="M6" s="119"/>
      <c r="N6" s="119"/>
      <c r="O6" s="38"/>
      <c r="Q6" s="196"/>
      <c r="R6" s="197"/>
      <c r="S6" s="197"/>
      <c r="T6" s="198"/>
    </row>
    <row r="7" spans="2:20" ht="22.5" customHeight="1" x14ac:dyDescent="0.25">
      <c r="B7" s="31"/>
      <c r="C7" s="39"/>
      <c r="D7" s="39"/>
      <c r="E7" s="40"/>
      <c r="F7" s="40"/>
      <c r="G7" s="41"/>
      <c r="H7" s="41"/>
      <c r="I7" s="42" t="s">
        <v>113</v>
      </c>
      <c r="J7" s="39"/>
      <c r="K7" s="42"/>
      <c r="L7" s="42"/>
      <c r="M7" s="43"/>
      <c r="N7" s="44"/>
      <c r="O7" s="45"/>
      <c r="P7" s="46"/>
      <c r="Q7" s="196"/>
      <c r="R7" s="197"/>
      <c r="S7" s="197"/>
      <c r="T7" s="198"/>
    </row>
    <row r="8" spans="2:20" ht="22.5" customHeight="1" thickBot="1" x14ac:dyDescent="0.3">
      <c r="B8" s="31"/>
      <c r="C8" s="47"/>
      <c r="D8" s="47"/>
      <c r="E8" s="48"/>
      <c r="F8" s="48"/>
      <c r="G8" s="48"/>
      <c r="H8" s="48"/>
      <c r="I8" s="48" t="s">
        <v>6</v>
      </c>
      <c r="J8" s="48"/>
      <c r="K8" s="48" t="s">
        <v>2</v>
      </c>
      <c r="L8" s="48"/>
      <c r="M8" s="49" t="s">
        <v>8</v>
      </c>
      <c r="N8" s="49" t="s">
        <v>1</v>
      </c>
      <c r="O8" s="50"/>
      <c r="P8" s="51"/>
      <c r="Q8" s="199"/>
      <c r="R8" s="200"/>
      <c r="S8" s="200"/>
      <c r="T8" s="201"/>
    </row>
    <row r="9" spans="2:20" ht="22.5" customHeight="1" thickBot="1" x14ac:dyDescent="0.3">
      <c r="B9" s="31"/>
      <c r="C9" s="19"/>
      <c r="D9" s="19"/>
      <c r="E9" s="52"/>
      <c r="F9" s="52"/>
      <c r="G9" s="53" t="s">
        <v>0</v>
      </c>
      <c r="H9" s="53"/>
      <c r="I9" s="53" t="s">
        <v>7</v>
      </c>
      <c r="J9" s="53"/>
      <c r="K9" s="53" t="s">
        <v>5</v>
      </c>
      <c r="L9" s="53"/>
      <c r="M9" s="54" t="s">
        <v>9</v>
      </c>
      <c r="N9" s="54" t="s">
        <v>4</v>
      </c>
      <c r="O9" s="50"/>
      <c r="P9" s="51"/>
      <c r="Q9" s="55"/>
      <c r="R9" s="55"/>
      <c r="S9" s="23"/>
      <c r="T9" s="23"/>
    </row>
    <row r="10" spans="2:20" ht="22.5" customHeight="1" thickBot="1" x14ac:dyDescent="0.3">
      <c r="B10" s="31"/>
      <c r="C10" s="56" t="s">
        <v>14</v>
      </c>
      <c r="D10" s="57"/>
      <c r="E10" s="20"/>
      <c r="F10" s="20"/>
      <c r="G10" s="58"/>
      <c r="H10" s="58"/>
      <c r="I10" s="58"/>
      <c r="J10" s="58"/>
      <c r="K10" s="58"/>
      <c r="L10" s="20"/>
      <c r="M10" s="59"/>
      <c r="N10" s="59"/>
      <c r="O10" s="32"/>
      <c r="Q10" s="207" t="s">
        <v>31</v>
      </c>
      <c r="R10" s="207"/>
    </row>
    <row r="11" spans="2:20" ht="22.5" customHeight="1" x14ac:dyDescent="0.25">
      <c r="B11" s="31"/>
      <c r="C11" s="2" t="s">
        <v>41</v>
      </c>
      <c r="D11" s="20"/>
      <c r="E11" s="182"/>
      <c r="F11" s="60"/>
      <c r="G11" s="3" t="s">
        <v>11</v>
      </c>
      <c r="H11" s="58"/>
      <c r="I11" s="4">
        <v>20</v>
      </c>
      <c r="J11" s="58"/>
      <c r="K11" s="5">
        <v>32</v>
      </c>
      <c r="L11" s="61"/>
      <c r="M11" s="62">
        <f>N11*$N$5</f>
        <v>128000</v>
      </c>
      <c r="N11" s="63">
        <f>I11*K11</f>
        <v>640</v>
      </c>
      <c r="O11" s="64"/>
      <c r="P11" s="65"/>
      <c r="Q11" s="111">
        <v>200</v>
      </c>
      <c r="R11" s="115" t="s">
        <v>100</v>
      </c>
    </row>
    <row r="12" spans="2:20" ht="22.5" customHeight="1" x14ac:dyDescent="0.25">
      <c r="B12" s="31"/>
      <c r="C12" s="6" t="s">
        <v>42</v>
      </c>
      <c r="D12" s="20"/>
      <c r="E12" s="182"/>
      <c r="F12" s="60"/>
      <c r="G12" s="3" t="s">
        <v>53</v>
      </c>
      <c r="H12" s="58"/>
      <c r="I12" s="4">
        <v>0.15</v>
      </c>
      <c r="J12" s="58"/>
      <c r="K12" s="5">
        <v>200</v>
      </c>
      <c r="L12" s="61"/>
      <c r="M12" s="62">
        <f>N12*$N$5</f>
        <v>6000</v>
      </c>
      <c r="N12" s="63">
        <f>I12*K12</f>
        <v>30</v>
      </c>
      <c r="O12" s="64"/>
      <c r="P12" s="65"/>
      <c r="Q12" s="112">
        <v>6</v>
      </c>
      <c r="R12" s="116" t="s">
        <v>101</v>
      </c>
    </row>
    <row r="13" spans="2:20" ht="22.5" customHeight="1" x14ac:dyDescent="0.25">
      <c r="B13" s="31"/>
      <c r="C13" s="6" t="s">
        <v>43</v>
      </c>
      <c r="D13" s="20"/>
      <c r="E13" s="182"/>
      <c r="F13" s="60"/>
      <c r="G13" s="3" t="s">
        <v>53</v>
      </c>
      <c r="H13" s="58"/>
      <c r="I13" s="4">
        <v>0.01</v>
      </c>
      <c r="J13" s="58"/>
      <c r="K13" s="5">
        <v>300</v>
      </c>
      <c r="L13" s="61"/>
      <c r="M13" s="62">
        <f>N13*$N$5</f>
        <v>600</v>
      </c>
      <c r="N13" s="63">
        <f>I13*K13</f>
        <v>3</v>
      </c>
      <c r="O13" s="64"/>
      <c r="P13" s="65"/>
      <c r="Q13" s="113">
        <v>1.5</v>
      </c>
      <c r="R13" s="116" t="s">
        <v>102</v>
      </c>
    </row>
    <row r="14" spans="2:20" ht="22.5" customHeight="1" x14ac:dyDescent="0.25">
      <c r="B14" s="31"/>
      <c r="C14" s="6" t="s">
        <v>44</v>
      </c>
      <c r="D14" s="20"/>
      <c r="E14" s="182"/>
      <c r="F14" s="60"/>
      <c r="G14" s="3" t="s">
        <v>53</v>
      </c>
      <c r="H14" s="58"/>
      <c r="I14" s="4">
        <v>0.75</v>
      </c>
      <c r="J14" s="58"/>
      <c r="K14" s="5">
        <v>20</v>
      </c>
      <c r="L14" s="61"/>
      <c r="M14" s="62">
        <f>N14*$N$5</f>
        <v>3000</v>
      </c>
      <c r="N14" s="63">
        <f>I14*K14</f>
        <v>15</v>
      </c>
      <c r="O14" s="64"/>
      <c r="P14" s="65"/>
      <c r="Q14" s="113">
        <v>0.15</v>
      </c>
      <c r="R14" s="116" t="s">
        <v>103</v>
      </c>
    </row>
    <row r="15" spans="2:20" ht="22.5" customHeight="1" x14ac:dyDescent="0.25">
      <c r="B15" s="31"/>
      <c r="C15" s="6" t="s">
        <v>45</v>
      </c>
      <c r="D15" s="20"/>
      <c r="E15" s="182"/>
      <c r="F15" s="60"/>
      <c r="G15" s="3" t="s">
        <v>53</v>
      </c>
      <c r="H15" s="58"/>
      <c r="I15" s="4">
        <v>0.75</v>
      </c>
      <c r="J15" s="58"/>
      <c r="K15" s="5">
        <v>30</v>
      </c>
      <c r="L15" s="61"/>
      <c r="M15" s="62">
        <f>N15*$N$5</f>
        <v>4500</v>
      </c>
      <c r="N15" s="63">
        <f>I15*K15</f>
        <v>22.5</v>
      </c>
      <c r="O15" s="64"/>
      <c r="P15" s="65"/>
      <c r="Q15" s="113">
        <v>0.05</v>
      </c>
      <c r="R15" s="116" t="s">
        <v>104</v>
      </c>
    </row>
    <row r="16" spans="2:20" ht="22.5" customHeight="1" thickBot="1" x14ac:dyDescent="0.3">
      <c r="B16" s="31"/>
      <c r="C16" s="66" t="s">
        <v>13</v>
      </c>
      <c r="D16" s="66"/>
      <c r="E16" s="67"/>
      <c r="F16" s="67"/>
      <c r="G16" s="68"/>
      <c r="H16" s="68"/>
      <c r="I16" s="68"/>
      <c r="J16" s="68"/>
      <c r="K16" s="68"/>
      <c r="L16" s="67"/>
      <c r="M16" s="69">
        <f>SUM(M11:M15)</f>
        <v>142100</v>
      </c>
      <c r="N16" s="70">
        <f>SUM(N11:N15)</f>
        <v>710.5</v>
      </c>
      <c r="O16" s="71"/>
      <c r="P16" s="72"/>
      <c r="Q16" s="113"/>
      <c r="R16" s="116"/>
    </row>
    <row r="17" spans="2:18" ht="22.5" customHeight="1" thickBot="1" x14ac:dyDescent="0.3">
      <c r="B17" s="31"/>
      <c r="C17" s="20"/>
      <c r="D17" s="20"/>
      <c r="E17" s="20"/>
      <c r="F17" s="20"/>
      <c r="G17" s="58"/>
      <c r="H17" s="58"/>
      <c r="I17" s="58"/>
      <c r="J17" s="58"/>
      <c r="K17" s="58"/>
      <c r="L17" s="20"/>
      <c r="M17" s="73"/>
      <c r="N17" s="74"/>
      <c r="O17" s="64"/>
      <c r="P17" s="65"/>
      <c r="Q17" s="114"/>
      <c r="R17" s="117"/>
    </row>
    <row r="18" spans="2:18" ht="22.5" customHeight="1" thickBot="1" x14ac:dyDescent="0.3">
      <c r="B18" s="31"/>
      <c r="C18" s="66" t="s">
        <v>15</v>
      </c>
      <c r="D18" s="66"/>
      <c r="E18" s="67"/>
      <c r="F18" s="20"/>
      <c r="G18" s="58"/>
      <c r="H18" s="58"/>
      <c r="I18" s="58"/>
      <c r="J18" s="58"/>
      <c r="K18" s="58"/>
      <c r="L18" s="20"/>
      <c r="M18" s="75"/>
      <c r="N18" s="74"/>
      <c r="O18" s="64"/>
      <c r="P18" s="65"/>
    </row>
    <row r="19" spans="2:18" ht="22.5" customHeight="1" x14ac:dyDescent="0.25">
      <c r="B19" s="31"/>
      <c r="C19" s="208" t="s">
        <v>32</v>
      </c>
      <c r="D19" s="208"/>
      <c r="E19" s="208"/>
      <c r="F19" s="20"/>
      <c r="G19" s="3" t="s">
        <v>10</v>
      </c>
      <c r="H19" s="58"/>
      <c r="I19" s="7">
        <v>1</v>
      </c>
      <c r="J19" s="58"/>
      <c r="K19" s="8">
        <v>120</v>
      </c>
      <c r="L19" s="60"/>
      <c r="M19" s="62">
        <f>N19*$N$5</f>
        <v>24000</v>
      </c>
      <c r="N19" s="63">
        <f>I19*K19</f>
        <v>120</v>
      </c>
      <c r="O19" s="64"/>
      <c r="P19" s="65"/>
    </row>
    <row r="20" spans="2:18" ht="22.5" customHeight="1" x14ac:dyDescent="0.25">
      <c r="B20" s="31"/>
      <c r="C20" s="187" t="s">
        <v>33</v>
      </c>
      <c r="D20" s="187"/>
      <c r="E20" s="187"/>
      <c r="F20" s="20"/>
      <c r="G20" s="3" t="s">
        <v>10</v>
      </c>
      <c r="H20" s="58"/>
      <c r="I20" s="7">
        <v>0</v>
      </c>
      <c r="J20" s="58"/>
      <c r="K20" s="8"/>
      <c r="L20" s="60"/>
      <c r="M20" s="62">
        <f t="shared" ref="M20:M33" si="0">N20*$N$5</f>
        <v>0</v>
      </c>
      <c r="N20" s="63">
        <f t="shared" ref="N20:N33" si="1">I20*K20</f>
        <v>0</v>
      </c>
      <c r="O20" s="64"/>
      <c r="P20" s="65"/>
    </row>
    <row r="21" spans="2:18" ht="22.5" customHeight="1" x14ac:dyDescent="0.25">
      <c r="B21" s="31"/>
      <c r="C21" s="187" t="s">
        <v>116</v>
      </c>
      <c r="D21" s="187"/>
      <c r="E21" s="187"/>
      <c r="F21" s="20"/>
      <c r="G21" s="3" t="s">
        <v>10</v>
      </c>
      <c r="H21" s="58"/>
      <c r="I21" s="7">
        <v>1</v>
      </c>
      <c r="J21" s="58"/>
      <c r="K21" s="8">
        <v>300</v>
      </c>
      <c r="L21" s="60"/>
      <c r="M21" s="62">
        <f t="shared" si="0"/>
        <v>60000</v>
      </c>
      <c r="N21" s="63">
        <f t="shared" si="1"/>
        <v>300</v>
      </c>
      <c r="O21" s="64"/>
      <c r="P21" s="65"/>
      <c r="Q21" s="209"/>
      <c r="R21" s="209"/>
    </row>
    <row r="22" spans="2:18" ht="22.5" customHeight="1" x14ac:dyDescent="0.25">
      <c r="B22" s="31"/>
      <c r="C22" s="187" t="s">
        <v>46</v>
      </c>
      <c r="D22" s="187"/>
      <c r="E22" s="187"/>
      <c r="F22" s="20"/>
      <c r="G22" s="3" t="s">
        <v>10</v>
      </c>
      <c r="H22" s="58"/>
      <c r="I22" s="183">
        <v>0.25</v>
      </c>
      <c r="J22" s="58"/>
      <c r="K22" s="8">
        <v>45</v>
      </c>
      <c r="L22" s="60"/>
      <c r="M22" s="62">
        <f t="shared" si="0"/>
        <v>2250</v>
      </c>
      <c r="N22" s="63">
        <f t="shared" si="1"/>
        <v>11.25</v>
      </c>
      <c r="O22" s="64"/>
      <c r="P22" s="65"/>
      <c r="Q22" s="209"/>
      <c r="R22" s="209"/>
    </row>
    <row r="23" spans="2:18" ht="22.5" customHeight="1" x14ac:dyDescent="0.25">
      <c r="B23" s="31"/>
      <c r="C23" s="187" t="s">
        <v>47</v>
      </c>
      <c r="D23" s="187"/>
      <c r="E23" s="187"/>
      <c r="F23" s="20"/>
      <c r="G23" s="3" t="s">
        <v>53</v>
      </c>
      <c r="H23" s="58"/>
      <c r="I23" s="7">
        <v>1</v>
      </c>
      <c r="J23" s="58"/>
      <c r="K23" s="8">
        <v>15</v>
      </c>
      <c r="L23" s="60"/>
      <c r="M23" s="62">
        <f t="shared" si="0"/>
        <v>3000</v>
      </c>
      <c r="N23" s="63">
        <f t="shared" si="1"/>
        <v>15</v>
      </c>
      <c r="O23" s="64"/>
      <c r="P23" s="65"/>
    </row>
    <row r="24" spans="2:18" ht="22.5" customHeight="1" x14ac:dyDescent="0.25">
      <c r="B24" s="31"/>
      <c r="C24" s="187" t="s">
        <v>117</v>
      </c>
      <c r="D24" s="187"/>
      <c r="E24" s="187"/>
      <c r="F24" s="20"/>
      <c r="G24" s="3" t="s">
        <v>53</v>
      </c>
      <c r="H24" s="58"/>
      <c r="I24" s="7">
        <v>1</v>
      </c>
      <c r="J24" s="58"/>
      <c r="K24" s="8">
        <v>10</v>
      </c>
      <c r="L24" s="60"/>
      <c r="M24" s="62">
        <f t="shared" si="0"/>
        <v>2000</v>
      </c>
      <c r="N24" s="63">
        <f t="shared" si="1"/>
        <v>10</v>
      </c>
      <c r="O24" s="64"/>
      <c r="P24" s="65"/>
    </row>
    <row r="25" spans="2:18" ht="22.5" customHeight="1" x14ac:dyDescent="0.25">
      <c r="B25" s="31"/>
      <c r="C25" s="187" t="s">
        <v>48</v>
      </c>
      <c r="D25" s="187"/>
      <c r="E25" s="187"/>
      <c r="F25" s="20"/>
      <c r="G25" s="3" t="s">
        <v>53</v>
      </c>
      <c r="H25" s="58"/>
      <c r="I25" s="7">
        <v>1</v>
      </c>
      <c r="J25" s="58"/>
      <c r="K25" s="184">
        <v>10</v>
      </c>
      <c r="L25" s="60"/>
      <c r="M25" s="62">
        <f t="shared" si="0"/>
        <v>2000</v>
      </c>
      <c r="N25" s="63">
        <f t="shared" si="1"/>
        <v>10</v>
      </c>
      <c r="O25" s="64"/>
      <c r="P25" s="65"/>
    </row>
    <row r="26" spans="2:18" ht="22.5" customHeight="1" x14ac:dyDescent="0.25">
      <c r="B26" s="31"/>
      <c r="C26" s="187" t="s">
        <v>50</v>
      </c>
      <c r="D26" s="187"/>
      <c r="E26" s="187"/>
      <c r="F26" s="20"/>
      <c r="G26" s="3" t="s">
        <v>11</v>
      </c>
      <c r="H26" s="58"/>
      <c r="I26" s="7">
        <v>0</v>
      </c>
      <c r="J26" s="58"/>
      <c r="K26" s="8"/>
      <c r="L26" s="60"/>
      <c r="M26" s="62">
        <f t="shared" si="0"/>
        <v>0</v>
      </c>
      <c r="N26" s="63">
        <f t="shared" si="1"/>
        <v>0</v>
      </c>
      <c r="O26" s="64"/>
      <c r="P26" s="65"/>
    </row>
    <row r="27" spans="2:18" ht="22.5" customHeight="1" x14ac:dyDescent="0.25">
      <c r="B27" s="31"/>
      <c r="C27" s="188" t="s">
        <v>49</v>
      </c>
      <c r="D27" s="189"/>
      <c r="E27" s="190"/>
      <c r="F27" s="20"/>
      <c r="G27" s="3" t="s">
        <v>12</v>
      </c>
      <c r="H27" s="58"/>
      <c r="I27" s="7">
        <v>1</v>
      </c>
      <c r="J27" s="58"/>
      <c r="K27" s="184">
        <v>20</v>
      </c>
      <c r="L27" s="60"/>
      <c r="M27" s="62">
        <f t="shared" si="0"/>
        <v>4000</v>
      </c>
      <c r="N27" s="63">
        <f t="shared" si="1"/>
        <v>20</v>
      </c>
      <c r="O27" s="64"/>
      <c r="P27" s="65"/>
    </row>
    <row r="28" spans="2:18" ht="22.5" customHeight="1" x14ac:dyDescent="0.25">
      <c r="B28" s="31"/>
      <c r="C28" s="188" t="s">
        <v>51</v>
      </c>
      <c r="D28" s="189"/>
      <c r="E28" s="190"/>
      <c r="F28" s="20"/>
      <c r="G28" s="3" t="s">
        <v>12</v>
      </c>
      <c r="H28" s="58"/>
      <c r="I28" s="7">
        <v>1</v>
      </c>
      <c r="J28" s="58"/>
      <c r="K28" s="8">
        <v>1.5</v>
      </c>
      <c r="L28" s="60"/>
      <c r="M28" s="62">
        <f t="shared" si="0"/>
        <v>300</v>
      </c>
      <c r="N28" s="63">
        <f t="shared" si="1"/>
        <v>1.5</v>
      </c>
      <c r="O28" s="64"/>
      <c r="P28" s="65"/>
    </row>
    <row r="29" spans="2:18" ht="22.5" customHeight="1" x14ac:dyDescent="0.25">
      <c r="B29" s="31"/>
      <c r="C29" s="187" t="s">
        <v>30</v>
      </c>
      <c r="D29" s="187"/>
      <c r="E29" s="187"/>
      <c r="F29" s="20"/>
      <c r="G29" s="3" t="s">
        <v>54</v>
      </c>
      <c r="H29" s="58"/>
      <c r="I29" s="7">
        <v>10</v>
      </c>
      <c r="J29" s="58"/>
      <c r="K29" s="8">
        <v>19.7</v>
      </c>
      <c r="L29" s="60"/>
      <c r="M29" s="62">
        <f t="shared" si="0"/>
        <v>39400</v>
      </c>
      <c r="N29" s="63">
        <f t="shared" si="1"/>
        <v>197</v>
      </c>
      <c r="O29" s="64"/>
      <c r="P29" s="65"/>
    </row>
    <row r="30" spans="2:18" ht="22.5" customHeight="1" x14ac:dyDescent="0.25">
      <c r="B30" s="31"/>
      <c r="C30" s="187" t="s">
        <v>23</v>
      </c>
      <c r="D30" s="187"/>
      <c r="E30" s="187"/>
      <c r="F30" s="20"/>
      <c r="G30" s="3" t="s">
        <v>54</v>
      </c>
      <c r="H30" s="58"/>
      <c r="I30" s="7">
        <v>10</v>
      </c>
      <c r="J30" s="58"/>
      <c r="K30" s="8">
        <v>14</v>
      </c>
      <c r="L30" s="60"/>
      <c r="M30" s="62">
        <f t="shared" si="0"/>
        <v>28000</v>
      </c>
      <c r="N30" s="63">
        <f t="shared" si="1"/>
        <v>140</v>
      </c>
      <c r="O30" s="64"/>
      <c r="P30" s="65"/>
    </row>
    <row r="31" spans="2:18" ht="22.5" customHeight="1" x14ac:dyDescent="0.25">
      <c r="B31" s="31"/>
      <c r="C31" s="187" t="s">
        <v>118</v>
      </c>
      <c r="D31" s="187"/>
      <c r="E31" s="187"/>
      <c r="F31" s="20"/>
      <c r="G31" s="9" t="s">
        <v>12</v>
      </c>
      <c r="H31" s="58"/>
      <c r="I31" s="10">
        <v>1</v>
      </c>
      <c r="J31" s="58"/>
      <c r="K31" s="11">
        <v>5</v>
      </c>
      <c r="L31" s="60"/>
      <c r="M31" s="62">
        <f t="shared" si="0"/>
        <v>1000</v>
      </c>
      <c r="N31" s="63">
        <f t="shared" si="1"/>
        <v>5</v>
      </c>
      <c r="O31" s="64"/>
      <c r="P31" s="65"/>
      <c r="R31" s="23"/>
    </row>
    <row r="32" spans="2:18" ht="22.5" customHeight="1" x14ac:dyDescent="0.25">
      <c r="B32" s="31"/>
      <c r="C32" s="187"/>
      <c r="D32" s="187"/>
      <c r="E32" s="187"/>
      <c r="F32" s="76"/>
      <c r="G32" s="6"/>
      <c r="H32" s="76"/>
      <c r="I32" s="6"/>
      <c r="J32" s="76"/>
      <c r="K32" s="6"/>
      <c r="L32" s="60"/>
      <c r="M32" s="62">
        <f t="shared" si="0"/>
        <v>0</v>
      </c>
      <c r="N32" s="63">
        <f t="shared" si="1"/>
        <v>0</v>
      </c>
      <c r="O32" s="64"/>
      <c r="P32" s="65"/>
      <c r="R32" s="23"/>
    </row>
    <row r="33" spans="2:18" ht="22.5" customHeight="1" x14ac:dyDescent="0.25">
      <c r="B33" s="31"/>
      <c r="C33" s="187"/>
      <c r="D33" s="187"/>
      <c r="E33" s="187"/>
      <c r="F33" s="76"/>
      <c r="G33" s="6"/>
      <c r="H33" s="76"/>
      <c r="I33" s="6"/>
      <c r="J33" s="76"/>
      <c r="K33" s="6"/>
      <c r="L33" s="60"/>
      <c r="M33" s="62">
        <f t="shared" si="0"/>
        <v>0</v>
      </c>
      <c r="N33" s="63">
        <f t="shared" si="1"/>
        <v>0</v>
      </c>
      <c r="O33" s="64"/>
      <c r="P33" s="65"/>
      <c r="R33" s="23"/>
    </row>
    <row r="34" spans="2:18" ht="22.5" customHeight="1" x14ac:dyDescent="0.25">
      <c r="B34" s="31"/>
      <c r="C34" s="186" t="s">
        <v>27</v>
      </c>
      <c r="D34" s="186"/>
      <c r="E34" s="186"/>
      <c r="F34" s="20"/>
      <c r="G34" s="58"/>
      <c r="H34" s="58"/>
      <c r="I34" s="77"/>
      <c r="J34" s="58"/>
      <c r="K34" s="185">
        <v>2500</v>
      </c>
      <c r="L34" s="60"/>
      <c r="M34" s="62">
        <f>K34</f>
        <v>2500</v>
      </c>
      <c r="N34" s="63">
        <f t="shared" ref="N34:N39" si="2">M34/$N$5</f>
        <v>12.5</v>
      </c>
      <c r="O34" s="64"/>
      <c r="P34" s="65"/>
      <c r="R34" s="23"/>
    </row>
    <row r="35" spans="2:18" ht="22.5" customHeight="1" x14ac:dyDescent="0.25">
      <c r="B35" s="31"/>
      <c r="C35" s="186" t="s">
        <v>28</v>
      </c>
      <c r="D35" s="186"/>
      <c r="E35" s="186"/>
      <c r="F35" s="20"/>
      <c r="G35" s="58"/>
      <c r="H35" s="58"/>
      <c r="I35" s="77"/>
      <c r="J35" s="58"/>
      <c r="K35" s="184">
        <v>3500</v>
      </c>
      <c r="L35" s="60"/>
      <c r="M35" s="62">
        <f>K35</f>
        <v>3500</v>
      </c>
      <c r="N35" s="63">
        <f t="shared" si="2"/>
        <v>17.5</v>
      </c>
      <c r="O35" s="64"/>
      <c r="P35" s="65"/>
    </row>
    <row r="36" spans="2:18" ht="22.5" customHeight="1" x14ac:dyDescent="0.25">
      <c r="B36" s="31"/>
      <c r="C36" s="186" t="s">
        <v>29</v>
      </c>
      <c r="D36" s="186"/>
      <c r="E36" s="186"/>
      <c r="F36" s="20"/>
      <c r="G36" s="58"/>
      <c r="H36" s="58"/>
      <c r="I36" s="77"/>
      <c r="J36" s="58"/>
      <c r="K36" s="8">
        <v>2000</v>
      </c>
      <c r="L36" s="60"/>
      <c r="M36" s="62">
        <f>K36</f>
        <v>2000</v>
      </c>
      <c r="N36" s="63">
        <f t="shared" si="2"/>
        <v>10</v>
      </c>
      <c r="O36" s="64"/>
      <c r="P36" s="65"/>
    </row>
    <row r="37" spans="2:18" ht="22.5" customHeight="1" x14ac:dyDescent="0.25">
      <c r="B37" s="31"/>
      <c r="C37" s="120" t="s">
        <v>34</v>
      </c>
      <c r="D37" s="120"/>
      <c r="E37" s="120"/>
      <c r="F37" s="20"/>
      <c r="G37" s="58"/>
      <c r="H37" s="58"/>
      <c r="I37" s="77"/>
      <c r="J37" s="58"/>
      <c r="K37" s="8">
        <v>3000</v>
      </c>
      <c r="L37" s="60"/>
      <c r="M37" s="62">
        <f>K37</f>
        <v>3000</v>
      </c>
      <c r="N37" s="63">
        <f t="shared" si="2"/>
        <v>15</v>
      </c>
      <c r="O37" s="64"/>
      <c r="P37" s="65"/>
    </row>
    <row r="38" spans="2:18" ht="22.5" customHeight="1" x14ac:dyDescent="0.25">
      <c r="B38" s="31"/>
      <c r="C38" s="186" t="s">
        <v>22</v>
      </c>
      <c r="D38" s="186"/>
      <c r="E38" s="186"/>
      <c r="F38" s="20"/>
      <c r="G38" s="58"/>
      <c r="H38" s="58"/>
      <c r="I38" s="12">
        <v>50000</v>
      </c>
      <c r="J38" s="78"/>
      <c r="K38" s="13">
        <v>6.5000000000000002E-2</v>
      </c>
      <c r="L38" s="79"/>
      <c r="M38" s="62">
        <f>I38*K38</f>
        <v>3250</v>
      </c>
      <c r="N38" s="63">
        <f t="shared" si="2"/>
        <v>16.25</v>
      </c>
      <c r="O38" s="64"/>
      <c r="P38" s="65"/>
    </row>
    <row r="39" spans="2:18" ht="22.5" customHeight="1" thickBot="1" x14ac:dyDescent="0.3">
      <c r="B39" s="31"/>
      <c r="C39" s="66" t="s">
        <v>16</v>
      </c>
      <c r="D39" s="66"/>
      <c r="E39" s="67"/>
      <c r="F39" s="67"/>
      <c r="G39" s="68"/>
      <c r="H39" s="68"/>
      <c r="I39" s="68"/>
      <c r="J39" s="68"/>
      <c r="K39" s="80"/>
      <c r="L39" s="81"/>
      <c r="M39" s="82">
        <f>SUM(M19:M38)</f>
        <v>180200</v>
      </c>
      <c r="N39" s="83">
        <f t="shared" si="2"/>
        <v>901</v>
      </c>
      <c r="O39" s="84"/>
      <c r="P39" s="85"/>
    </row>
    <row r="40" spans="2:18" ht="22.5" customHeight="1" x14ac:dyDescent="0.25">
      <c r="B40" s="31"/>
      <c r="C40" s="25"/>
      <c r="D40" s="25"/>
      <c r="E40" s="25"/>
      <c r="F40" s="25"/>
      <c r="G40" s="26"/>
      <c r="H40" s="26"/>
      <c r="I40" s="26"/>
      <c r="J40" s="26"/>
      <c r="K40" s="86"/>
      <c r="L40" s="87"/>
      <c r="M40" s="88"/>
      <c r="N40" s="89"/>
      <c r="O40" s="64"/>
      <c r="P40" s="65"/>
    </row>
    <row r="41" spans="2:18" ht="22.5" customHeight="1" thickBot="1" x14ac:dyDescent="0.3">
      <c r="B41" s="31"/>
      <c r="C41" s="66" t="s">
        <v>17</v>
      </c>
      <c r="D41" s="66"/>
      <c r="E41" s="67"/>
      <c r="F41" s="67"/>
      <c r="G41" s="68"/>
      <c r="H41" s="68"/>
      <c r="I41" s="68"/>
      <c r="J41" s="68"/>
      <c r="K41" s="80"/>
      <c r="L41" s="81"/>
      <c r="M41" s="90">
        <f>M16-M39</f>
        <v>-38100</v>
      </c>
      <c r="N41" s="83">
        <f>M41/$N$5</f>
        <v>-190.5</v>
      </c>
      <c r="O41" s="84"/>
      <c r="P41" s="85"/>
    </row>
    <row r="42" spans="2:18" ht="7.5" customHeight="1" x14ac:dyDescent="0.25">
      <c r="B42" s="31"/>
      <c r="C42" s="16"/>
      <c r="D42" s="16"/>
      <c r="E42" s="20"/>
      <c r="F42" s="20"/>
      <c r="G42" s="58"/>
      <c r="H42" s="58"/>
      <c r="I42" s="58"/>
      <c r="J42" s="58"/>
      <c r="K42" s="91"/>
      <c r="L42" s="60"/>
      <c r="M42" s="92"/>
      <c r="N42" s="93"/>
      <c r="O42" s="84"/>
      <c r="P42" s="85"/>
    </row>
    <row r="43" spans="2:18" s="21" customFormat="1" ht="22.5" customHeight="1" x14ac:dyDescent="0.25">
      <c r="B43" s="94"/>
      <c r="C43" s="95"/>
      <c r="D43" s="95"/>
      <c r="E43" s="23"/>
      <c r="F43" s="23"/>
      <c r="G43" s="96"/>
      <c r="H43" s="96"/>
      <c r="I43" s="96"/>
      <c r="J43" s="96"/>
      <c r="K43" s="97"/>
      <c r="L43" s="98"/>
      <c r="M43" s="99"/>
      <c r="N43" s="100"/>
      <c r="O43" s="101"/>
      <c r="P43" s="85"/>
    </row>
    <row r="44" spans="2:18" ht="7.5" customHeight="1" x14ac:dyDescent="0.25">
      <c r="B44" s="31"/>
      <c r="C44" s="20"/>
      <c r="D44" s="20"/>
      <c r="E44" s="20"/>
      <c r="F44" s="20"/>
      <c r="G44" s="58"/>
      <c r="H44" s="58"/>
      <c r="I44" s="58"/>
      <c r="J44" s="58"/>
      <c r="K44" s="91"/>
      <c r="L44" s="60"/>
      <c r="M44" s="102"/>
      <c r="N44" s="103"/>
      <c r="O44" s="64"/>
      <c r="P44" s="65"/>
    </row>
    <row r="45" spans="2:18" ht="22.5" customHeight="1" thickBot="1" x14ac:dyDescent="0.3">
      <c r="B45" s="31"/>
      <c r="C45" s="66" t="s">
        <v>18</v>
      </c>
      <c r="D45" s="66"/>
      <c r="E45" s="104"/>
      <c r="F45" s="20"/>
      <c r="G45" s="58"/>
      <c r="H45" s="58"/>
      <c r="I45" s="58"/>
      <c r="J45" s="58"/>
      <c r="K45" s="91"/>
      <c r="L45" s="60"/>
      <c r="M45" s="102"/>
      <c r="N45" s="103"/>
      <c r="O45" s="64"/>
      <c r="P45" s="65"/>
    </row>
    <row r="46" spans="2:18" ht="22.5" customHeight="1" x14ac:dyDescent="0.25">
      <c r="B46" s="31"/>
      <c r="C46" s="16" t="s">
        <v>3</v>
      </c>
      <c r="D46" s="16"/>
      <c r="E46" s="20"/>
      <c r="F46" s="20"/>
      <c r="G46" s="58"/>
      <c r="H46" s="58"/>
      <c r="I46" s="58"/>
      <c r="J46" s="58"/>
      <c r="K46" s="91"/>
      <c r="L46" s="60"/>
      <c r="M46" s="102"/>
      <c r="N46" s="103"/>
      <c r="O46" s="64"/>
      <c r="P46" s="65"/>
    </row>
    <row r="47" spans="2:18" ht="22.5" customHeight="1" x14ac:dyDescent="0.25">
      <c r="B47" s="31"/>
      <c r="C47" s="187" t="s">
        <v>52</v>
      </c>
      <c r="D47" s="187"/>
      <c r="E47" s="187"/>
      <c r="F47" s="20"/>
      <c r="G47" s="58"/>
      <c r="H47" s="58"/>
      <c r="I47" s="77"/>
      <c r="J47" s="58"/>
      <c r="K47" s="14">
        <f>Investment!I8</f>
        <v>2451.5430524082976</v>
      </c>
      <c r="L47" s="60"/>
      <c r="M47" s="105">
        <f>K47</f>
        <v>2451.5430524082976</v>
      </c>
      <c r="N47" s="63">
        <f>M47/$N$5</f>
        <v>12.257715262041488</v>
      </c>
      <c r="O47" s="64"/>
      <c r="P47" s="65"/>
    </row>
    <row r="48" spans="2:18" ht="22.5" customHeight="1" x14ac:dyDescent="0.25">
      <c r="B48" s="31"/>
      <c r="C48" s="187" t="s">
        <v>114</v>
      </c>
      <c r="D48" s="187"/>
      <c r="E48" s="187"/>
      <c r="F48" s="20"/>
      <c r="G48" s="58"/>
      <c r="H48" s="58"/>
      <c r="I48" s="77"/>
      <c r="J48" s="58"/>
      <c r="K48" s="14">
        <f>Investment!I7+Investment!I9+Investment!I10+Investment!I11+Investment!I12+Investment!I13+Investment!I14+Investment!I15</f>
        <v>9334.2837225540679</v>
      </c>
      <c r="L48" s="60"/>
      <c r="M48" s="105">
        <f>K48</f>
        <v>9334.2837225540679</v>
      </c>
      <c r="N48" s="63">
        <f>M48/$N$5</f>
        <v>46.671418612770339</v>
      </c>
      <c r="O48" s="64"/>
      <c r="P48" s="65"/>
    </row>
    <row r="49" spans="2:16" ht="22.5" customHeight="1" x14ac:dyDescent="0.25">
      <c r="B49" s="31"/>
      <c r="C49" s="187" t="s">
        <v>105</v>
      </c>
      <c r="D49" s="187"/>
      <c r="E49" s="187"/>
      <c r="F49" s="20"/>
      <c r="G49" s="58"/>
      <c r="H49" s="58"/>
      <c r="I49" s="77"/>
      <c r="J49" s="58"/>
      <c r="K49" s="14">
        <f>Investment!I22</f>
        <v>2719.4774582463901</v>
      </c>
      <c r="L49" s="60"/>
      <c r="M49" s="105">
        <f>K49</f>
        <v>2719.4774582463901</v>
      </c>
      <c r="N49" s="63">
        <f t="shared" ref="N49:N55" si="3">M49/$N$5</f>
        <v>13.59738729123195</v>
      </c>
      <c r="O49" s="64"/>
      <c r="P49" s="65"/>
    </row>
    <row r="50" spans="2:16" ht="22.5" customHeight="1" x14ac:dyDescent="0.25">
      <c r="B50" s="31"/>
      <c r="C50" s="187" t="s">
        <v>106</v>
      </c>
      <c r="D50" s="187"/>
      <c r="E50" s="187"/>
      <c r="F50" s="20"/>
      <c r="G50" s="58"/>
      <c r="H50" s="58"/>
      <c r="I50" s="77"/>
      <c r="J50" s="58"/>
      <c r="K50" s="14">
        <f>Investment!I21</f>
        <v>782.92439438480449</v>
      </c>
      <c r="L50" s="60"/>
      <c r="M50" s="105">
        <f>K50</f>
        <v>782.92439438480449</v>
      </c>
      <c r="N50" s="63">
        <f t="shared" si="3"/>
        <v>3.9146219719240225</v>
      </c>
      <c r="O50" s="64"/>
      <c r="P50" s="65"/>
    </row>
    <row r="51" spans="2:16" ht="22.5" customHeight="1" x14ac:dyDescent="0.25">
      <c r="B51" s="31"/>
      <c r="C51" s="187" t="s">
        <v>126</v>
      </c>
      <c r="D51" s="187"/>
      <c r="E51" s="187"/>
      <c r="F51" s="20"/>
      <c r="G51" s="58"/>
      <c r="H51" s="58"/>
      <c r="I51" s="77"/>
      <c r="J51" s="58"/>
      <c r="K51" s="14">
        <f>Investment!I38</f>
        <v>3966.9181021899344</v>
      </c>
      <c r="L51" s="60"/>
      <c r="M51" s="105">
        <f>K51</f>
        <v>3966.9181021899344</v>
      </c>
      <c r="N51" s="63">
        <f t="shared" si="3"/>
        <v>19.834590510949671</v>
      </c>
      <c r="O51" s="64"/>
      <c r="P51" s="65"/>
    </row>
    <row r="52" spans="2:16" ht="22.5" customHeight="1" x14ac:dyDescent="0.25">
      <c r="B52" s="31"/>
      <c r="C52" s="186" t="s">
        <v>24</v>
      </c>
      <c r="D52" s="186"/>
      <c r="E52" s="186"/>
      <c r="F52" s="20"/>
      <c r="G52" s="58"/>
      <c r="H52" s="58"/>
      <c r="I52" s="12">
        <f>Investment!D30</f>
        <v>100000</v>
      </c>
      <c r="J52" s="58"/>
      <c r="K52" s="15">
        <v>0.05</v>
      </c>
      <c r="L52" s="60"/>
      <c r="M52" s="105">
        <f>I52*K52</f>
        <v>5000</v>
      </c>
      <c r="N52" s="63">
        <f t="shared" si="3"/>
        <v>25</v>
      </c>
      <c r="O52" s="64"/>
      <c r="P52" s="65"/>
    </row>
    <row r="53" spans="2:16" ht="22.5" customHeight="1" x14ac:dyDescent="0.25">
      <c r="B53" s="31"/>
      <c r="C53" s="186" t="s">
        <v>25</v>
      </c>
      <c r="D53" s="186"/>
      <c r="E53" s="186"/>
      <c r="F53" s="20"/>
      <c r="G53" s="58"/>
      <c r="H53" s="58"/>
      <c r="I53" s="77"/>
      <c r="J53" s="78"/>
      <c r="K53" s="14">
        <v>1000</v>
      </c>
      <c r="L53" s="60"/>
      <c r="M53" s="105">
        <f>K53</f>
        <v>1000</v>
      </c>
      <c r="N53" s="63">
        <f t="shared" si="3"/>
        <v>5</v>
      </c>
      <c r="O53" s="64"/>
      <c r="P53" s="65"/>
    </row>
    <row r="54" spans="2:16" ht="22.5" customHeight="1" x14ac:dyDescent="0.25">
      <c r="B54" s="31"/>
      <c r="C54" s="186" t="s">
        <v>26</v>
      </c>
      <c r="D54" s="186"/>
      <c r="E54" s="186"/>
      <c r="F54" s="20"/>
      <c r="G54" s="58"/>
      <c r="H54" s="58"/>
      <c r="I54" s="77"/>
      <c r="J54" s="78"/>
      <c r="K54" s="14">
        <v>2000</v>
      </c>
      <c r="L54" s="60"/>
      <c r="M54" s="105">
        <f>K54</f>
        <v>2000</v>
      </c>
      <c r="N54" s="63">
        <f t="shared" si="3"/>
        <v>10</v>
      </c>
      <c r="O54" s="64"/>
      <c r="P54" s="65"/>
    </row>
    <row r="55" spans="2:16" ht="22.5" customHeight="1" thickBot="1" x14ac:dyDescent="0.3">
      <c r="B55" s="31"/>
      <c r="C55" s="66" t="s">
        <v>19</v>
      </c>
      <c r="D55" s="66"/>
      <c r="E55" s="67"/>
      <c r="F55" s="67"/>
      <c r="G55" s="68"/>
      <c r="H55" s="68"/>
      <c r="I55" s="68"/>
      <c r="J55" s="68"/>
      <c r="K55" s="68"/>
      <c r="L55" s="67"/>
      <c r="M55" s="82">
        <f>SUM(M47:M54)</f>
        <v>27255.146729783497</v>
      </c>
      <c r="N55" s="83">
        <f t="shared" si="3"/>
        <v>136.27573364891748</v>
      </c>
      <c r="O55" s="84"/>
      <c r="P55" s="85"/>
    </row>
    <row r="56" spans="2:16" ht="22.5" customHeight="1" x14ac:dyDescent="0.25">
      <c r="B56" s="31"/>
      <c r="C56" s="20"/>
      <c r="D56" s="20"/>
      <c r="E56" s="20"/>
      <c r="F56" s="20"/>
      <c r="G56" s="58"/>
      <c r="H56" s="58"/>
      <c r="I56" s="58"/>
      <c r="J56" s="58"/>
      <c r="K56" s="58"/>
      <c r="L56" s="20"/>
      <c r="M56" s="102"/>
      <c r="N56" s="106"/>
      <c r="O56" s="64"/>
      <c r="P56" s="65"/>
    </row>
    <row r="57" spans="2:16" ht="22.5" customHeight="1" thickBot="1" x14ac:dyDescent="0.3">
      <c r="B57" s="31"/>
      <c r="C57" s="66" t="s">
        <v>20</v>
      </c>
      <c r="D57" s="66"/>
      <c r="E57" s="67"/>
      <c r="F57" s="67"/>
      <c r="G57" s="68"/>
      <c r="H57" s="68"/>
      <c r="I57" s="68"/>
      <c r="J57" s="68"/>
      <c r="K57" s="68"/>
      <c r="L57" s="67"/>
      <c r="M57" s="90">
        <f>+M39+M55</f>
        <v>207455.1467297835</v>
      </c>
      <c r="N57" s="83">
        <f>M57/$N$5</f>
        <v>1037.2757336489176</v>
      </c>
      <c r="O57" s="84"/>
      <c r="P57" s="85"/>
    </row>
    <row r="58" spans="2:16" ht="22.5" customHeight="1" x14ac:dyDescent="0.25">
      <c r="B58" s="31"/>
      <c r="C58" s="25"/>
      <c r="D58" s="25"/>
      <c r="E58" s="25"/>
      <c r="F58" s="25"/>
      <c r="G58" s="26"/>
      <c r="H58" s="26"/>
      <c r="I58" s="26"/>
      <c r="J58" s="26"/>
      <c r="K58" s="26"/>
      <c r="L58" s="25"/>
      <c r="M58" s="88"/>
      <c r="N58" s="89"/>
      <c r="O58" s="64"/>
      <c r="P58" s="65"/>
    </row>
    <row r="59" spans="2:16" ht="22.5" customHeight="1" thickBot="1" x14ac:dyDescent="0.3">
      <c r="B59" s="31"/>
      <c r="C59" s="66" t="s">
        <v>21</v>
      </c>
      <c r="D59" s="66"/>
      <c r="E59" s="67"/>
      <c r="F59" s="67"/>
      <c r="G59" s="68"/>
      <c r="H59" s="68"/>
      <c r="I59" s="68"/>
      <c r="J59" s="68"/>
      <c r="K59" s="68"/>
      <c r="L59" s="67"/>
      <c r="M59" s="90">
        <f>M16-M57</f>
        <v>-65355.146729783504</v>
      </c>
      <c r="N59" s="107">
        <f>M59/$N$5</f>
        <v>-326.77573364891754</v>
      </c>
      <c r="O59" s="84"/>
      <c r="P59" s="85"/>
    </row>
    <row r="60" spans="2:16" ht="7.5" customHeight="1" thickBot="1" x14ac:dyDescent="0.3">
      <c r="B60" s="108"/>
      <c r="C60" s="67"/>
      <c r="D60" s="67"/>
      <c r="E60" s="67"/>
      <c r="F60" s="67"/>
      <c r="G60" s="68"/>
      <c r="H60" s="68"/>
      <c r="I60" s="68"/>
      <c r="J60" s="68"/>
      <c r="K60" s="68"/>
      <c r="L60" s="67"/>
      <c r="M60" s="67"/>
      <c r="N60" s="67"/>
      <c r="O60" s="109"/>
    </row>
    <row r="61" spans="2:16" s="21" customFormat="1" x14ac:dyDescent="0.25">
      <c r="G61" s="22"/>
      <c r="H61" s="22"/>
      <c r="I61" s="22"/>
      <c r="J61" s="22"/>
      <c r="K61" s="22"/>
      <c r="P61" s="23"/>
    </row>
    <row r="62" spans="2:16" s="21" customFormat="1" x14ac:dyDescent="0.25">
      <c r="G62" s="22"/>
      <c r="H62" s="22"/>
      <c r="I62" s="22"/>
      <c r="J62" s="22"/>
      <c r="K62" s="22"/>
      <c r="P62" s="23"/>
    </row>
    <row r="63" spans="2:16" s="21" customFormat="1" x14ac:dyDescent="0.25">
      <c r="G63" s="22"/>
      <c r="H63" s="22"/>
      <c r="I63" s="22"/>
      <c r="J63" s="22"/>
      <c r="K63" s="22"/>
      <c r="P63" s="23"/>
    </row>
    <row r="64" spans="2:16" s="21" customFormat="1" x14ac:dyDescent="0.25">
      <c r="G64" s="22"/>
      <c r="H64" s="22"/>
      <c r="I64" s="22"/>
      <c r="J64" s="22"/>
      <c r="K64" s="22"/>
      <c r="P64" s="23"/>
    </row>
    <row r="65" spans="7:16" s="21" customFormat="1" x14ac:dyDescent="0.25">
      <c r="G65" s="22"/>
      <c r="H65" s="22"/>
      <c r="I65" s="22"/>
      <c r="J65" s="22"/>
      <c r="K65" s="22"/>
      <c r="P65" s="23"/>
    </row>
    <row r="66" spans="7:16" s="21" customFormat="1" x14ac:dyDescent="0.25">
      <c r="G66" s="22"/>
      <c r="H66" s="22"/>
      <c r="I66" s="22"/>
      <c r="J66" s="22"/>
      <c r="K66" s="22"/>
      <c r="P66" s="23"/>
    </row>
    <row r="67" spans="7:16" s="21" customFormat="1" x14ac:dyDescent="0.25">
      <c r="G67" s="22"/>
      <c r="H67" s="22"/>
      <c r="I67" s="22"/>
      <c r="J67" s="22"/>
      <c r="K67" s="22"/>
      <c r="P67" s="23"/>
    </row>
    <row r="68" spans="7:16" s="21" customFormat="1" x14ac:dyDescent="0.25">
      <c r="G68" s="22"/>
      <c r="H68" s="22"/>
      <c r="I68" s="22"/>
      <c r="J68" s="22"/>
      <c r="K68" s="22"/>
      <c r="P68" s="23"/>
    </row>
    <row r="69" spans="7:16" s="21" customFormat="1" x14ac:dyDescent="0.25">
      <c r="G69" s="22"/>
      <c r="H69" s="22"/>
      <c r="I69" s="22"/>
      <c r="J69" s="22"/>
      <c r="K69" s="22"/>
      <c r="P69" s="23"/>
    </row>
    <row r="70" spans="7:16" s="21" customFormat="1" x14ac:dyDescent="0.25">
      <c r="G70" s="22"/>
      <c r="H70" s="22"/>
      <c r="I70" s="22"/>
      <c r="J70" s="22"/>
      <c r="K70" s="22"/>
      <c r="P70" s="23"/>
    </row>
    <row r="71" spans="7:16" s="21" customFormat="1" x14ac:dyDescent="0.25">
      <c r="G71" s="22"/>
      <c r="H71" s="22"/>
      <c r="I71" s="22"/>
      <c r="J71" s="22"/>
      <c r="K71" s="22"/>
      <c r="P71" s="23"/>
    </row>
    <row r="72" spans="7:16" s="21" customFormat="1" x14ac:dyDescent="0.25">
      <c r="G72" s="22"/>
      <c r="H72" s="22"/>
      <c r="I72" s="22"/>
      <c r="J72" s="22"/>
      <c r="K72" s="22"/>
      <c r="P72" s="23"/>
    </row>
    <row r="73" spans="7:16" s="21" customFormat="1" x14ac:dyDescent="0.25">
      <c r="G73" s="22"/>
      <c r="H73" s="22"/>
      <c r="I73" s="22"/>
      <c r="J73" s="22"/>
      <c r="K73" s="22"/>
      <c r="P73" s="23"/>
    </row>
    <row r="74" spans="7:16" s="21" customFormat="1" x14ac:dyDescent="0.25">
      <c r="G74" s="22"/>
      <c r="H74" s="22"/>
      <c r="I74" s="22"/>
      <c r="J74" s="22"/>
      <c r="K74" s="22"/>
      <c r="P74" s="23"/>
    </row>
    <row r="75" spans="7:16" s="21" customFormat="1" x14ac:dyDescent="0.25">
      <c r="G75" s="22"/>
      <c r="H75" s="22"/>
      <c r="I75" s="22"/>
      <c r="J75" s="22"/>
      <c r="K75" s="22"/>
      <c r="P75" s="23"/>
    </row>
    <row r="76" spans="7:16" s="21" customFormat="1" x14ac:dyDescent="0.25">
      <c r="G76" s="22"/>
      <c r="H76" s="22"/>
      <c r="I76" s="22"/>
      <c r="J76" s="22"/>
      <c r="K76" s="22"/>
      <c r="P76" s="23"/>
    </row>
    <row r="77" spans="7:16" s="21" customFormat="1" x14ac:dyDescent="0.25">
      <c r="G77" s="22"/>
      <c r="H77" s="22"/>
      <c r="I77" s="22"/>
      <c r="J77" s="22"/>
      <c r="K77" s="22"/>
      <c r="P77" s="23"/>
    </row>
    <row r="78" spans="7:16" s="21" customFormat="1" x14ac:dyDescent="0.25">
      <c r="G78" s="22"/>
      <c r="H78" s="22"/>
      <c r="I78" s="22"/>
      <c r="J78" s="22"/>
      <c r="K78" s="22"/>
      <c r="P78" s="23"/>
    </row>
    <row r="79" spans="7:16" s="21" customFormat="1" x14ac:dyDescent="0.25">
      <c r="G79" s="22"/>
      <c r="H79" s="22"/>
      <c r="I79" s="22"/>
      <c r="J79" s="22"/>
      <c r="K79" s="22"/>
      <c r="P79" s="23"/>
    </row>
    <row r="80" spans="7:16" s="21" customFormat="1" x14ac:dyDescent="0.25">
      <c r="G80" s="22"/>
      <c r="H80" s="22"/>
      <c r="I80" s="22"/>
      <c r="J80" s="22"/>
      <c r="K80" s="22"/>
      <c r="P80" s="23"/>
    </row>
    <row r="81" spans="7:16" s="21" customFormat="1" x14ac:dyDescent="0.25">
      <c r="G81" s="22"/>
      <c r="H81" s="22"/>
      <c r="I81" s="22"/>
      <c r="J81" s="22"/>
      <c r="K81" s="22"/>
      <c r="P81" s="23"/>
    </row>
    <row r="82" spans="7:16" s="21" customFormat="1" x14ac:dyDescent="0.25">
      <c r="G82" s="22"/>
      <c r="H82" s="22"/>
      <c r="I82" s="22"/>
      <c r="J82" s="22"/>
      <c r="K82" s="22"/>
      <c r="P82" s="23"/>
    </row>
    <row r="83" spans="7:16" s="21" customFormat="1" x14ac:dyDescent="0.25">
      <c r="G83" s="22"/>
      <c r="H83" s="22"/>
      <c r="I83" s="22"/>
      <c r="J83" s="22"/>
      <c r="K83" s="22"/>
      <c r="P83" s="23"/>
    </row>
    <row r="84" spans="7:16" s="21" customFormat="1" x14ac:dyDescent="0.25">
      <c r="G84" s="22"/>
      <c r="H84" s="22"/>
      <c r="I84" s="22"/>
      <c r="J84" s="22"/>
      <c r="K84" s="22"/>
      <c r="P84" s="23"/>
    </row>
    <row r="85" spans="7:16" s="21" customFormat="1" x14ac:dyDescent="0.25">
      <c r="G85" s="22"/>
      <c r="H85" s="22"/>
      <c r="I85" s="22"/>
      <c r="J85" s="22"/>
      <c r="K85" s="22"/>
      <c r="P85" s="23"/>
    </row>
    <row r="86" spans="7:16" s="21" customFormat="1" x14ac:dyDescent="0.25">
      <c r="G86" s="22"/>
      <c r="H86" s="22"/>
      <c r="I86" s="22"/>
      <c r="J86" s="22"/>
      <c r="K86" s="22"/>
      <c r="P86" s="23"/>
    </row>
    <row r="87" spans="7:16" s="21" customFormat="1" x14ac:dyDescent="0.25">
      <c r="G87" s="22"/>
      <c r="H87" s="22"/>
      <c r="I87" s="22"/>
      <c r="J87" s="22"/>
      <c r="K87" s="22"/>
      <c r="P87" s="23"/>
    </row>
    <row r="88" spans="7:16" s="21" customFormat="1" x14ac:dyDescent="0.25">
      <c r="G88" s="22"/>
      <c r="H88" s="22"/>
      <c r="I88" s="22"/>
      <c r="J88" s="22"/>
      <c r="K88" s="22"/>
      <c r="P88" s="23"/>
    </row>
    <row r="89" spans="7:16" s="21" customFormat="1" x14ac:dyDescent="0.25">
      <c r="G89" s="22"/>
      <c r="H89" s="22"/>
      <c r="I89" s="22"/>
      <c r="J89" s="22"/>
      <c r="K89" s="22"/>
      <c r="P89" s="23"/>
    </row>
    <row r="90" spans="7:16" s="21" customFormat="1" x14ac:dyDescent="0.25">
      <c r="G90" s="22"/>
      <c r="H90" s="22"/>
      <c r="I90" s="22"/>
      <c r="J90" s="22"/>
      <c r="K90" s="22"/>
      <c r="P90" s="23"/>
    </row>
    <row r="91" spans="7:16" s="21" customFormat="1" x14ac:dyDescent="0.25">
      <c r="G91" s="22"/>
      <c r="H91" s="22"/>
      <c r="I91" s="22"/>
      <c r="J91" s="22"/>
      <c r="K91" s="22"/>
      <c r="P91" s="23"/>
    </row>
    <row r="92" spans="7:16" s="21" customFormat="1" x14ac:dyDescent="0.25">
      <c r="G92" s="22"/>
      <c r="H92" s="22"/>
      <c r="I92" s="22"/>
      <c r="J92" s="22"/>
      <c r="K92" s="22"/>
      <c r="P92" s="23"/>
    </row>
    <row r="93" spans="7:16" s="21" customFormat="1" x14ac:dyDescent="0.25">
      <c r="G93" s="22"/>
      <c r="H93" s="22"/>
      <c r="I93" s="22"/>
      <c r="J93" s="22"/>
      <c r="K93" s="22"/>
      <c r="P93" s="23"/>
    </row>
    <row r="94" spans="7:16" s="21" customFormat="1" x14ac:dyDescent="0.25">
      <c r="G94" s="22"/>
      <c r="H94" s="22"/>
      <c r="I94" s="22"/>
      <c r="J94" s="22"/>
      <c r="K94" s="22"/>
      <c r="P94" s="23"/>
    </row>
    <row r="95" spans="7:16" s="21" customFormat="1" x14ac:dyDescent="0.25">
      <c r="G95" s="22"/>
      <c r="H95" s="22"/>
      <c r="I95" s="22"/>
      <c r="J95" s="22"/>
      <c r="K95" s="22"/>
      <c r="P95" s="23"/>
    </row>
    <row r="96" spans="7:16" s="21" customFormat="1" x14ac:dyDescent="0.25">
      <c r="G96" s="22"/>
      <c r="H96" s="22"/>
      <c r="I96" s="22"/>
      <c r="J96" s="22"/>
      <c r="K96" s="22"/>
      <c r="P96" s="23"/>
    </row>
    <row r="97" spans="7:16" s="21" customFormat="1" x14ac:dyDescent="0.25">
      <c r="G97" s="22"/>
      <c r="H97" s="22"/>
      <c r="I97" s="22"/>
      <c r="J97" s="22"/>
      <c r="K97" s="22"/>
      <c r="P97" s="23"/>
    </row>
    <row r="98" spans="7:16" s="21" customFormat="1" x14ac:dyDescent="0.25">
      <c r="G98" s="22"/>
      <c r="H98" s="22"/>
      <c r="I98" s="22"/>
      <c r="J98" s="22"/>
      <c r="K98" s="22"/>
      <c r="P98" s="23"/>
    </row>
    <row r="99" spans="7:16" s="21" customFormat="1" x14ac:dyDescent="0.25">
      <c r="G99" s="22"/>
      <c r="H99" s="22"/>
      <c r="I99" s="22"/>
      <c r="J99" s="22"/>
      <c r="K99" s="22"/>
      <c r="P99" s="23"/>
    </row>
    <row r="100" spans="7:16" s="21" customFormat="1" x14ac:dyDescent="0.25">
      <c r="G100" s="22"/>
      <c r="H100" s="22"/>
      <c r="I100" s="22"/>
      <c r="J100" s="22"/>
      <c r="K100" s="22"/>
      <c r="P100" s="23"/>
    </row>
    <row r="101" spans="7:16" s="21" customFormat="1" x14ac:dyDescent="0.25">
      <c r="G101" s="22"/>
      <c r="H101" s="22"/>
      <c r="I101" s="22"/>
      <c r="J101" s="22"/>
      <c r="K101" s="22"/>
      <c r="P101" s="23"/>
    </row>
    <row r="102" spans="7:16" s="21" customFormat="1" x14ac:dyDescent="0.25">
      <c r="G102" s="22"/>
      <c r="H102" s="22"/>
      <c r="I102" s="22"/>
      <c r="J102" s="22"/>
      <c r="K102" s="22"/>
      <c r="P102" s="23"/>
    </row>
    <row r="103" spans="7:16" s="21" customFormat="1" x14ac:dyDescent="0.25">
      <c r="G103" s="22"/>
      <c r="H103" s="22"/>
      <c r="I103" s="22"/>
      <c r="J103" s="22"/>
      <c r="K103" s="22"/>
      <c r="P103" s="23"/>
    </row>
    <row r="104" spans="7:16" s="21" customFormat="1" x14ac:dyDescent="0.25">
      <c r="G104" s="22"/>
      <c r="H104" s="22"/>
      <c r="I104" s="22"/>
      <c r="J104" s="22"/>
      <c r="K104" s="22"/>
      <c r="P104" s="23"/>
    </row>
    <row r="105" spans="7:16" s="21" customFormat="1" x14ac:dyDescent="0.25">
      <c r="G105" s="22"/>
      <c r="H105" s="22"/>
      <c r="I105" s="22"/>
      <c r="J105" s="22"/>
      <c r="K105" s="22"/>
      <c r="P105" s="23"/>
    </row>
    <row r="106" spans="7:16" s="21" customFormat="1" x14ac:dyDescent="0.25">
      <c r="G106" s="22"/>
      <c r="H106" s="22"/>
      <c r="I106" s="22"/>
      <c r="J106" s="22"/>
      <c r="K106" s="22"/>
      <c r="P106" s="23"/>
    </row>
    <row r="107" spans="7:16" s="21" customFormat="1" x14ac:dyDescent="0.25">
      <c r="G107" s="22"/>
      <c r="H107" s="22"/>
      <c r="I107" s="22"/>
      <c r="J107" s="22"/>
      <c r="K107" s="22"/>
      <c r="P107" s="23"/>
    </row>
    <row r="108" spans="7:16" s="21" customFormat="1" x14ac:dyDescent="0.25">
      <c r="G108" s="22"/>
      <c r="H108" s="22"/>
      <c r="I108" s="22"/>
      <c r="J108" s="22"/>
      <c r="K108" s="22"/>
      <c r="P108" s="23"/>
    </row>
    <row r="109" spans="7:16" s="21" customFormat="1" x14ac:dyDescent="0.25">
      <c r="G109" s="22"/>
      <c r="H109" s="22"/>
      <c r="I109" s="22"/>
      <c r="J109" s="22"/>
      <c r="K109" s="22"/>
      <c r="P109" s="23"/>
    </row>
  </sheetData>
  <mergeCells count="34">
    <mergeCell ref="C24:E24"/>
    <mergeCell ref="C23:E23"/>
    <mergeCell ref="C3:K3"/>
    <mergeCell ref="Q3:T3"/>
    <mergeCell ref="Q4:T8"/>
    <mergeCell ref="C5:K5"/>
    <mergeCell ref="C6:G6"/>
    <mergeCell ref="Q10:R10"/>
    <mergeCell ref="C19:E19"/>
    <mergeCell ref="C20:E20"/>
    <mergeCell ref="C21:E21"/>
    <mergeCell ref="Q21:R22"/>
    <mergeCell ref="C22:E22"/>
    <mergeCell ref="C33:E33"/>
    <mergeCell ref="C25:E25"/>
    <mergeCell ref="C26:E26"/>
    <mergeCell ref="C27:E27"/>
    <mergeCell ref="C28:E28"/>
    <mergeCell ref="C29:E29"/>
    <mergeCell ref="C30:E30"/>
    <mergeCell ref="C31:E31"/>
    <mergeCell ref="C32:E32"/>
    <mergeCell ref="C54:E54"/>
    <mergeCell ref="C34:E34"/>
    <mergeCell ref="C35:E35"/>
    <mergeCell ref="C36:E36"/>
    <mergeCell ref="C38:E38"/>
    <mergeCell ref="C47:E47"/>
    <mergeCell ref="C48:E48"/>
    <mergeCell ref="C49:E49"/>
    <mergeCell ref="C50:E50"/>
    <mergeCell ref="C51:E51"/>
    <mergeCell ref="C52:E52"/>
    <mergeCell ref="C53:E53"/>
  </mergeCells>
  <pageMargins left="1.1000000000000001" right="0.75" top="0.55000000000000004" bottom="0.53" header="0.5" footer="0.5"/>
  <pageSetup scale="58" orientation="portrait" r:id="rId1"/>
  <headerFooter alignWithMargins="0"/>
  <rowBreaks count="1" manualBreakCount="1">
    <brk id="60" max="16383" man="1"/>
  </rowBreaks>
  <ignoredErrors>
    <ignoredError sqref="M52" formula="1"/>
    <ignoredError sqref="K47:K54 I5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R57"/>
  <sheetViews>
    <sheetView topLeftCell="A40" workbookViewId="0">
      <selection activeCell="P6" sqref="P6"/>
    </sheetView>
  </sheetViews>
  <sheetFormatPr defaultRowHeight="18" x14ac:dyDescent="0.25"/>
  <cols>
    <col min="1" max="1" width="3" style="121" customWidth="1"/>
    <col min="2" max="2" width="2.5" style="121" customWidth="1"/>
    <col min="3" max="3" width="38.875" style="132" bestFit="1" customWidth="1"/>
    <col min="4" max="16" width="10.5" style="132" customWidth="1"/>
    <col min="17" max="17" width="9" style="132"/>
    <col min="18" max="18" width="10" style="132" bestFit="1" customWidth="1"/>
    <col min="19" max="16384" width="9" style="132"/>
  </cols>
  <sheetData>
    <row r="1" spans="1:18" s="121" customFormat="1" x14ac:dyDescent="0.25"/>
    <row r="2" spans="1:18" s="127" customFormat="1" ht="30" customHeight="1" x14ac:dyDescent="0.25">
      <c r="A2" s="122"/>
      <c r="B2" s="123" t="s">
        <v>55</v>
      </c>
      <c r="C2" s="123"/>
      <c r="D2" s="123"/>
      <c r="E2" s="123"/>
      <c r="F2" s="123"/>
      <c r="G2" s="123"/>
      <c r="H2" s="123"/>
      <c r="I2" s="123"/>
      <c r="J2" s="123"/>
      <c r="K2" s="123"/>
      <c r="L2" s="124"/>
      <c r="M2" s="125"/>
      <c r="N2" s="125"/>
      <c r="O2" s="125"/>
      <c r="P2" s="126" t="s">
        <v>110</v>
      </c>
    </row>
    <row r="3" spans="1:18" s="127" customFormat="1" ht="30" customHeight="1" thickBot="1" x14ac:dyDescent="0.3">
      <c r="A3" s="122"/>
      <c r="B3" s="128"/>
      <c r="C3" s="129"/>
      <c r="D3" s="130" t="s">
        <v>56</v>
      </c>
      <c r="E3" s="130" t="s">
        <v>57</v>
      </c>
      <c r="F3" s="130" t="s">
        <v>58</v>
      </c>
      <c r="G3" s="130" t="s">
        <v>59</v>
      </c>
      <c r="H3" s="130" t="s">
        <v>60</v>
      </c>
      <c r="I3" s="130" t="s">
        <v>61</v>
      </c>
      <c r="J3" s="130" t="s">
        <v>62</v>
      </c>
      <c r="K3" s="130" t="s">
        <v>63</v>
      </c>
      <c r="L3" s="130" t="s">
        <v>64</v>
      </c>
      <c r="M3" s="130" t="s">
        <v>65</v>
      </c>
      <c r="N3" s="130" t="s">
        <v>66</v>
      </c>
      <c r="O3" s="130" t="s">
        <v>67</v>
      </c>
      <c r="P3" s="130" t="s">
        <v>9</v>
      </c>
    </row>
    <row r="4" spans="1:18" x14ac:dyDescent="0.25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8" x14ac:dyDescent="0.25">
      <c r="B5" s="133" t="s">
        <v>68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8" x14ac:dyDescent="0.25">
      <c r="B6" s="131"/>
      <c r="C6" s="134" t="s">
        <v>41</v>
      </c>
      <c r="D6" s="135">
        <f>$P$6*0.3333/6</f>
        <v>7110.4000000000005</v>
      </c>
      <c r="E6" s="135">
        <f>$P$6*0.3333/6</f>
        <v>7110.4000000000005</v>
      </c>
      <c r="F6" s="135">
        <v>27000</v>
      </c>
      <c r="G6" s="135">
        <v>27000</v>
      </c>
      <c r="H6" s="135">
        <v>27000</v>
      </c>
      <c r="I6" s="135">
        <v>27000</v>
      </c>
      <c r="J6" s="135">
        <v>27000</v>
      </c>
      <c r="K6" s="135">
        <v>27000</v>
      </c>
      <c r="L6" s="135">
        <v>27000</v>
      </c>
      <c r="M6" s="135">
        <v>27000</v>
      </c>
      <c r="N6" s="135">
        <v>27000</v>
      </c>
      <c r="O6" s="135">
        <v>27000</v>
      </c>
      <c r="P6" s="136">
        <f>'DG1-17'!M11</f>
        <v>128000</v>
      </c>
      <c r="R6" s="145"/>
    </row>
    <row r="7" spans="1:18" x14ac:dyDescent="0.25">
      <c r="B7" s="131"/>
      <c r="C7" s="134" t="s">
        <v>42</v>
      </c>
      <c r="D7" s="135"/>
      <c r="E7" s="135">
        <f>$P$7/3</f>
        <v>2000</v>
      </c>
      <c r="F7" s="135"/>
      <c r="G7" s="135"/>
      <c r="H7" s="135"/>
      <c r="I7" s="135"/>
      <c r="J7" s="135"/>
      <c r="K7" s="135"/>
      <c r="L7" s="135">
        <f>$P$7/3</f>
        <v>2000</v>
      </c>
      <c r="M7" s="135">
        <f>$P$7/3</f>
        <v>2000</v>
      </c>
      <c r="O7" s="135"/>
      <c r="P7" s="136">
        <f>'DG1-17'!M12</f>
        <v>6000</v>
      </c>
      <c r="R7" s="145"/>
    </row>
    <row r="8" spans="1:18" x14ac:dyDescent="0.25">
      <c r="B8" s="131"/>
      <c r="C8" s="134" t="s">
        <v>43</v>
      </c>
      <c r="D8" s="135"/>
      <c r="E8" s="135"/>
      <c r="F8" s="135"/>
      <c r="G8" s="135"/>
      <c r="I8" s="135"/>
      <c r="J8" s="135"/>
      <c r="K8" s="135"/>
      <c r="L8" s="135">
        <f>P8</f>
        <v>600</v>
      </c>
      <c r="N8" s="135"/>
      <c r="O8" s="135"/>
      <c r="P8" s="136">
        <f>'DG1-17'!M13</f>
        <v>600</v>
      </c>
      <c r="R8" s="145"/>
    </row>
    <row r="9" spans="1:18" x14ac:dyDescent="0.25">
      <c r="B9" s="131"/>
      <c r="C9" s="134" t="s">
        <v>44</v>
      </c>
      <c r="D9" s="135"/>
      <c r="E9" s="135">
        <f>$P$9*0.67/4</f>
        <v>502.50000000000006</v>
      </c>
      <c r="F9" s="135">
        <f>$P$9*0.67/4</f>
        <v>502.50000000000006</v>
      </c>
      <c r="G9" s="135">
        <f>$P$9*0.67/4</f>
        <v>502.50000000000006</v>
      </c>
      <c r="H9" s="135">
        <f>$P$9*0.67/4</f>
        <v>502.50000000000006</v>
      </c>
      <c r="I9" s="135"/>
      <c r="J9" s="135"/>
      <c r="K9" s="135"/>
      <c r="L9" s="135">
        <f>$P$9*0.3333/3</f>
        <v>333.3</v>
      </c>
      <c r="M9" s="135">
        <f>$P$9*0.3333/3</f>
        <v>333.3</v>
      </c>
      <c r="N9" s="135">
        <f>$P$9*0.3333/3</f>
        <v>333.3</v>
      </c>
      <c r="O9" s="135"/>
      <c r="P9" s="136">
        <f>'DG1-17'!M14</f>
        <v>3000</v>
      </c>
      <c r="R9" s="145"/>
    </row>
    <row r="10" spans="1:18" x14ac:dyDescent="0.25">
      <c r="B10" s="131"/>
      <c r="C10" s="134" t="s">
        <v>45</v>
      </c>
      <c r="D10" s="135"/>
      <c r="E10" s="135">
        <f>$P$10*0.67/4</f>
        <v>753.75</v>
      </c>
      <c r="F10" s="135">
        <f>$P$10*0.67/4</f>
        <v>753.75</v>
      </c>
      <c r="G10" s="135">
        <f>$P$10*0.67/4</f>
        <v>753.75</v>
      </c>
      <c r="H10" s="135">
        <f>$P$10*0.67/4</f>
        <v>753.75</v>
      </c>
      <c r="I10" s="135"/>
      <c r="J10" s="135"/>
      <c r="K10" s="135"/>
      <c r="L10" s="135">
        <f>$P$10*0.3333/3</f>
        <v>499.95</v>
      </c>
      <c r="M10" s="135">
        <f>$P$10*0.3333/3</f>
        <v>499.95</v>
      </c>
      <c r="N10" s="135">
        <f>$P$10*0.3333/3</f>
        <v>499.95</v>
      </c>
      <c r="O10" s="135"/>
      <c r="P10" s="136">
        <f>'DG1-17'!M15</f>
        <v>4500</v>
      </c>
      <c r="R10" s="145"/>
    </row>
    <row r="11" spans="1:18" x14ac:dyDescent="0.25">
      <c r="B11" s="131"/>
      <c r="C11" s="134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</row>
    <row r="12" spans="1:18" s="139" customFormat="1" x14ac:dyDescent="0.25">
      <c r="A12" s="137"/>
      <c r="B12" s="133" t="s">
        <v>69</v>
      </c>
      <c r="C12" s="138"/>
      <c r="D12" s="136">
        <f>SUM(D6:D10)</f>
        <v>7110.4000000000005</v>
      </c>
      <c r="E12" s="136">
        <f t="shared" ref="E12:O12" si="0">SUM(E6:E10)</f>
        <v>10366.650000000001</v>
      </c>
      <c r="F12" s="136">
        <f t="shared" si="0"/>
        <v>28256.25</v>
      </c>
      <c r="G12" s="136">
        <f t="shared" si="0"/>
        <v>28256.25</v>
      </c>
      <c r="H12" s="136">
        <f t="shared" si="0"/>
        <v>28256.25</v>
      </c>
      <c r="I12" s="136">
        <f t="shared" si="0"/>
        <v>27000</v>
      </c>
      <c r="J12" s="136">
        <f t="shared" si="0"/>
        <v>27000</v>
      </c>
      <c r="K12" s="136">
        <f t="shared" si="0"/>
        <v>27000</v>
      </c>
      <c r="L12" s="136">
        <f t="shared" si="0"/>
        <v>30433.25</v>
      </c>
      <c r="M12" s="136">
        <f t="shared" si="0"/>
        <v>29833.25</v>
      </c>
      <c r="N12" s="136">
        <f t="shared" si="0"/>
        <v>27833.25</v>
      </c>
      <c r="O12" s="136">
        <f t="shared" si="0"/>
        <v>27000</v>
      </c>
      <c r="P12" s="136">
        <f>SUM(P6:P10)</f>
        <v>142100</v>
      </c>
    </row>
    <row r="13" spans="1:18" x14ac:dyDescent="0.25">
      <c r="B13" s="140"/>
      <c r="C13" s="141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</row>
    <row r="14" spans="1:18" x14ac:dyDescent="0.25"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8" x14ac:dyDescent="0.25">
      <c r="B15" s="133" t="s">
        <v>70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1:18" x14ac:dyDescent="0.25">
      <c r="B16" s="131"/>
      <c r="C16" s="143" t="str">
        <f>'DG1-17'!C19:E19</f>
        <v>Alfalfa Hay</v>
      </c>
      <c r="D16" s="144">
        <f>$P$16/12</f>
        <v>2000</v>
      </c>
      <c r="E16" s="144">
        <f t="shared" ref="E16:O16" si="1">$P$16/12</f>
        <v>2000</v>
      </c>
      <c r="F16" s="144">
        <f t="shared" si="1"/>
        <v>2000</v>
      </c>
      <c r="G16" s="144">
        <f t="shared" si="1"/>
        <v>2000</v>
      </c>
      <c r="H16" s="144">
        <f t="shared" si="1"/>
        <v>2000</v>
      </c>
      <c r="I16" s="144">
        <f t="shared" si="1"/>
        <v>2000</v>
      </c>
      <c r="J16" s="144">
        <f t="shared" si="1"/>
        <v>2000</v>
      </c>
      <c r="K16" s="144">
        <f t="shared" si="1"/>
        <v>2000</v>
      </c>
      <c r="L16" s="144">
        <f t="shared" si="1"/>
        <v>2000</v>
      </c>
      <c r="M16" s="144">
        <f t="shared" si="1"/>
        <v>2000</v>
      </c>
      <c r="N16" s="144">
        <f t="shared" si="1"/>
        <v>2000</v>
      </c>
      <c r="O16" s="144">
        <f t="shared" si="1"/>
        <v>2000</v>
      </c>
      <c r="P16" s="136">
        <f>'DG1-17'!M19</f>
        <v>24000</v>
      </c>
    </row>
    <row r="17" spans="2:18" x14ac:dyDescent="0.25">
      <c r="B17" s="131"/>
      <c r="C17" s="143" t="str">
        <f>'DG1-17'!C20:E20</f>
        <v>Alfalfa/Grass Hay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36">
        <f>'DG1-17'!M20</f>
        <v>0</v>
      </c>
    </row>
    <row r="18" spans="2:18" x14ac:dyDescent="0.25">
      <c r="B18" s="131"/>
      <c r="C18" s="143" t="str">
        <f>'DG1-17'!C21:E21</f>
        <v>Grain/Concentrate</v>
      </c>
      <c r="D18" s="135">
        <f>$P$18/12</f>
        <v>5000</v>
      </c>
      <c r="E18" s="135">
        <f t="shared" ref="E18:O18" si="2">$P$18/12</f>
        <v>5000</v>
      </c>
      <c r="F18" s="135">
        <f t="shared" si="2"/>
        <v>5000</v>
      </c>
      <c r="G18" s="135">
        <f t="shared" si="2"/>
        <v>5000</v>
      </c>
      <c r="H18" s="135">
        <f t="shared" si="2"/>
        <v>5000</v>
      </c>
      <c r="I18" s="135">
        <f t="shared" si="2"/>
        <v>5000</v>
      </c>
      <c r="J18" s="135">
        <f t="shared" si="2"/>
        <v>5000</v>
      </c>
      <c r="K18" s="135">
        <f t="shared" si="2"/>
        <v>5000</v>
      </c>
      <c r="L18" s="135">
        <f t="shared" si="2"/>
        <v>5000</v>
      </c>
      <c r="M18" s="135">
        <f t="shared" si="2"/>
        <v>5000</v>
      </c>
      <c r="N18" s="135">
        <f t="shared" si="2"/>
        <v>5000</v>
      </c>
      <c r="O18" s="135">
        <f t="shared" si="2"/>
        <v>5000</v>
      </c>
      <c r="P18" s="136">
        <f>'DG1-17'!M21</f>
        <v>60000</v>
      </c>
    </row>
    <row r="19" spans="2:18" x14ac:dyDescent="0.25">
      <c r="B19" s="131"/>
      <c r="C19" s="143" t="str">
        <f>'DG1-17'!C22:E22</f>
        <v>Straw</v>
      </c>
      <c r="D19" s="135">
        <f>$P$19/12</f>
        <v>187.5</v>
      </c>
      <c r="E19" s="135">
        <f t="shared" ref="E19:N19" si="3">$P$19/12</f>
        <v>187.5</v>
      </c>
      <c r="F19" s="135">
        <f t="shared" si="3"/>
        <v>187.5</v>
      </c>
      <c r="G19" s="135">
        <f t="shared" si="3"/>
        <v>187.5</v>
      </c>
      <c r="H19" s="135">
        <f t="shared" si="3"/>
        <v>187.5</v>
      </c>
      <c r="I19" s="135">
        <f t="shared" si="3"/>
        <v>187.5</v>
      </c>
      <c r="J19" s="135">
        <f t="shared" si="3"/>
        <v>187.5</v>
      </c>
      <c r="K19" s="135">
        <f t="shared" si="3"/>
        <v>187.5</v>
      </c>
      <c r="L19" s="135">
        <f t="shared" si="3"/>
        <v>187.5</v>
      </c>
      <c r="M19" s="135">
        <f t="shared" si="3"/>
        <v>187.5</v>
      </c>
      <c r="N19" s="135">
        <f t="shared" si="3"/>
        <v>187.5</v>
      </c>
      <c r="O19" s="135">
        <f>$P$19/12</f>
        <v>187.5</v>
      </c>
      <c r="P19" s="136">
        <f>'DG1-17'!M22</f>
        <v>2250</v>
      </c>
    </row>
    <row r="20" spans="2:18" x14ac:dyDescent="0.25">
      <c r="B20" s="131"/>
      <c r="C20" s="143" t="str">
        <f>'DG1-17'!C23:E23</f>
        <v>Veterinary/Health</v>
      </c>
      <c r="D20" s="135">
        <f>$P$20/12</f>
        <v>250</v>
      </c>
      <c r="E20" s="135">
        <f t="shared" ref="E20:N20" si="4">$P$20/12</f>
        <v>250</v>
      </c>
      <c r="F20" s="135">
        <f t="shared" si="4"/>
        <v>250</v>
      </c>
      <c r="G20" s="135">
        <f t="shared" si="4"/>
        <v>250</v>
      </c>
      <c r="H20" s="135">
        <f t="shared" si="4"/>
        <v>250</v>
      </c>
      <c r="I20" s="135">
        <f t="shared" si="4"/>
        <v>250</v>
      </c>
      <c r="J20" s="135">
        <f t="shared" si="4"/>
        <v>250</v>
      </c>
      <c r="K20" s="135">
        <f t="shared" si="4"/>
        <v>250</v>
      </c>
      <c r="L20" s="135">
        <f t="shared" si="4"/>
        <v>250</v>
      </c>
      <c r="M20" s="135">
        <f t="shared" si="4"/>
        <v>250</v>
      </c>
      <c r="N20" s="135">
        <f t="shared" si="4"/>
        <v>250</v>
      </c>
      <c r="O20" s="135">
        <f>$P$20/12</f>
        <v>250</v>
      </c>
      <c r="P20" s="136">
        <f>'DG1-17'!M23</f>
        <v>3000</v>
      </c>
      <c r="R20" s="145"/>
    </row>
    <row r="21" spans="2:18" x14ac:dyDescent="0.25">
      <c r="B21" s="131"/>
      <c r="C21" s="143" t="str">
        <f>'DG1-17'!C24:E24</f>
        <v>Milking Supplies</v>
      </c>
      <c r="D21" s="135">
        <f>$P$21/12</f>
        <v>166.66666666666666</v>
      </c>
      <c r="E21" s="135">
        <f t="shared" ref="E21:N21" si="5">$P$21/12</f>
        <v>166.66666666666666</v>
      </c>
      <c r="F21" s="135">
        <f t="shared" si="5"/>
        <v>166.66666666666666</v>
      </c>
      <c r="G21" s="135">
        <f t="shared" si="5"/>
        <v>166.66666666666666</v>
      </c>
      <c r="H21" s="135">
        <f t="shared" si="5"/>
        <v>166.66666666666666</v>
      </c>
      <c r="I21" s="135">
        <f t="shared" si="5"/>
        <v>166.66666666666666</v>
      </c>
      <c r="J21" s="135">
        <f t="shared" si="5"/>
        <v>166.66666666666666</v>
      </c>
      <c r="K21" s="135">
        <f t="shared" si="5"/>
        <v>166.66666666666666</v>
      </c>
      <c r="L21" s="135">
        <f t="shared" si="5"/>
        <v>166.66666666666666</v>
      </c>
      <c r="M21" s="135">
        <f t="shared" si="5"/>
        <v>166.66666666666666</v>
      </c>
      <c r="N21" s="135">
        <f t="shared" si="5"/>
        <v>166.66666666666666</v>
      </c>
      <c r="O21" s="135">
        <f>$P$21/12</f>
        <v>166.66666666666666</v>
      </c>
      <c r="P21" s="136">
        <f>'DG1-17'!M24</f>
        <v>2000</v>
      </c>
      <c r="R21" s="145"/>
    </row>
    <row r="22" spans="2:18" x14ac:dyDescent="0.25">
      <c r="B22" s="131"/>
      <c r="C22" s="143" t="str">
        <f>'DG1-17'!C25:E25</f>
        <v>Milk Testing</v>
      </c>
      <c r="D22" s="135">
        <f>$P$22/12</f>
        <v>166.66666666666666</v>
      </c>
      <c r="E22" s="135">
        <f t="shared" ref="E22:N22" si="6">$P$22/12</f>
        <v>166.66666666666666</v>
      </c>
      <c r="F22" s="135">
        <f t="shared" si="6"/>
        <v>166.66666666666666</v>
      </c>
      <c r="G22" s="135">
        <f t="shared" si="6"/>
        <v>166.66666666666666</v>
      </c>
      <c r="H22" s="135">
        <f t="shared" si="6"/>
        <v>166.66666666666666</v>
      </c>
      <c r="I22" s="135">
        <f t="shared" si="6"/>
        <v>166.66666666666666</v>
      </c>
      <c r="J22" s="135">
        <f t="shared" si="6"/>
        <v>166.66666666666666</v>
      </c>
      <c r="K22" s="135">
        <f t="shared" si="6"/>
        <v>166.66666666666666</v>
      </c>
      <c r="L22" s="135">
        <f t="shared" si="6"/>
        <v>166.66666666666666</v>
      </c>
      <c r="M22" s="135">
        <f t="shared" si="6"/>
        <v>166.66666666666666</v>
      </c>
      <c r="N22" s="135">
        <f t="shared" si="6"/>
        <v>166.66666666666666</v>
      </c>
      <c r="O22" s="135">
        <f>$P$22/12</f>
        <v>166.66666666666666</v>
      </c>
      <c r="P22" s="136">
        <f>'DG1-17'!M25</f>
        <v>2000</v>
      </c>
    </row>
    <row r="23" spans="2:18" x14ac:dyDescent="0.25">
      <c r="B23" s="131"/>
      <c r="C23" s="143" t="str">
        <f>'DG1-17'!C26:E26</f>
        <v>Milk Hauling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>
        <f>'DG1-17'!M26</f>
        <v>0</v>
      </c>
      <c r="R23" s="145"/>
    </row>
    <row r="24" spans="2:18" x14ac:dyDescent="0.25">
      <c r="B24" s="131"/>
      <c r="C24" s="143" t="str">
        <f>'DG1-17'!C27:E27</f>
        <v>Utilities</v>
      </c>
      <c r="D24" s="135">
        <f>$P$24/12</f>
        <v>333.33333333333331</v>
      </c>
      <c r="E24" s="135">
        <f t="shared" ref="E24:N24" si="7">$P$24/12</f>
        <v>333.33333333333331</v>
      </c>
      <c r="F24" s="135">
        <f t="shared" si="7"/>
        <v>333.33333333333331</v>
      </c>
      <c r="G24" s="135">
        <f t="shared" si="7"/>
        <v>333.33333333333331</v>
      </c>
      <c r="H24" s="135">
        <f t="shared" si="7"/>
        <v>333.33333333333331</v>
      </c>
      <c r="I24" s="135">
        <f t="shared" si="7"/>
        <v>333.33333333333331</v>
      </c>
      <c r="J24" s="135">
        <f t="shared" si="7"/>
        <v>333.33333333333331</v>
      </c>
      <c r="K24" s="135">
        <f t="shared" si="7"/>
        <v>333.33333333333331</v>
      </c>
      <c r="L24" s="135">
        <f t="shared" si="7"/>
        <v>333.33333333333331</v>
      </c>
      <c r="M24" s="135">
        <f t="shared" si="7"/>
        <v>333.33333333333331</v>
      </c>
      <c r="N24" s="135">
        <f t="shared" si="7"/>
        <v>333.33333333333331</v>
      </c>
      <c r="O24" s="135">
        <f>$P$24/12</f>
        <v>333.33333333333331</v>
      </c>
      <c r="P24" s="136">
        <f>'DG1-17'!M27</f>
        <v>4000</v>
      </c>
    </row>
    <row r="25" spans="2:18" x14ac:dyDescent="0.25">
      <c r="B25" s="131"/>
      <c r="C25" s="143" t="str">
        <f>'DG1-17'!C28:E28</f>
        <v>Legal &amp; Accounting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>
        <f>P25</f>
        <v>300</v>
      </c>
      <c r="P25" s="136">
        <f>'DG1-17'!M28</f>
        <v>300</v>
      </c>
    </row>
    <row r="26" spans="2:18" x14ac:dyDescent="0.25">
      <c r="B26" s="131"/>
      <c r="C26" s="143" t="str">
        <f>'DG1-17'!C29:E29</f>
        <v>Owner Labor</v>
      </c>
      <c r="D26" s="135">
        <f>$P$26/12</f>
        <v>3283.3333333333335</v>
      </c>
      <c r="E26" s="135">
        <f t="shared" ref="E26:N26" si="8">$P$26/12</f>
        <v>3283.3333333333335</v>
      </c>
      <c r="F26" s="135">
        <f t="shared" si="8"/>
        <v>3283.3333333333335</v>
      </c>
      <c r="G26" s="135">
        <f t="shared" si="8"/>
        <v>3283.3333333333335</v>
      </c>
      <c r="H26" s="135">
        <f t="shared" si="8"/>
        <v>3283.3333333333335</v>
      </c>
      <c r="I26" s="135">
        <f t="shared" si="8"/>
        <v>3283.3333333333335</v>
      </c>
      <c r="J26" s="135">
        <f t="shared" si="8"/>
        <v>3283.3333333333335</v>
      </c>
      <c r="K26" s="135">
        <f t="shared" si="8"/>
        <v>3283.3333333333335</v>
      </c>
      <c r="L26" s="135">
        <f t="shared" si="8"/>
        <v>3283.3333333333335</v>
      </c>
      <c r="M26" s="135">
        <f t="shared" si="8"/>
        <v>3283.3333333333335</v>
      </c>
      <c r="N26" s="135">
        <f t="shared" si="8"/>
        <v>3283.3333333333335</v>
      </c>
      <c r="O26" s="135">
        <f>$P$26/12</f>
        <v>3283.3333333333335</v>
      </c>
      <c r="P26" s="136">
        <f>'DG1-17'!M29</f>
        <v>39400</v>
      </c>
    </row>
    <row r="27" spans="2:18" x14ac:dyDescent="0.25">
      <c r="B27" s="131"/>
      <c r="C27" s="143" t="str">
        <f>'DG1-17'!C30:E30</f>
        <v>Hired Labor</v>
      </c>
      <c r="D27" s="135">
        <f>$P$27/12</f>
        <v>2333.3333333333335</v>
      </c>
      <c r="E27" s="135">
        <f t="shared" ref="E27:N27" si="9">$P$27/12</f>
        <v>2333.3333333333335</v>
      </c>
      <c r="F27" s="135">
        <f t="shared" si="9"/>
        <v>2333.3333333333335</v>
      </c>
      <c r="G27" s="135">
        <f t="shared" si="9"/>
        <v>2333.3333333333335</v>
      </c>
      <c r="H27" s="135">
        <f t="shared" si="9"/>
        <v>2333.3333333333335</v>
      </c>
      <c r="I27" s="135">
        <f t="shared" si="9"/>
        <v>2333.3333333333335</v>
      </c>
      <c r="J27" s="135">
        <f t="shared" si="9"/>
        <v>2333.3333333333335</v>
      </c>
      <c r="K27" s="135">
        <f t="shared" si="9"/>
        <v>2333.3333333333335</v>
      </c>
      <c r="L27" s="135">
        <f t="shared" si="9"/>
        <v>2333.3333333333335</v>
      </c>
      <c r="M27" s="135">
        <f t="shared" si="9"/>
        <v>2333.3333333333335</v>
      </c>
      <c r="N27" s="135">
        <f t="shared" si="9"/>
        <v>2333.3333333333335</v>
      </c>
      <c r="O27" s="135">
        <f>$P$27/12</f>
        <v>2333.3333333333335</v>
      </c>
      <c r="P27" s="136">
        <f>'DG1-17'!M30</f>
        <v>28000</v>
      </c>
    </row>
    <row r="28" spans="2:18" x14ac:dyDescent="0.25">
      <c r="B28" s="131"/>
      <c r="C28" s="143" t="str">
        <f>'DG1-17'!C31:E31</f>
        <v>Miscellaneous</v>
      </c>
      <c r="D28" s="135">
        <f>$P$28/12</f>
        <v>83.333333333333329</v>
      </c>
      <c r="E28" s="135">
        <f t="shared" ref="E28:N28" si="10">$P$28/12</f>
        <v>83.333333333333329</v>
      </c>
      <c r="F28" s="135">
        <f t="shared" si="10"/>
        <v>83.333333333333329</v>
      </c>
      <c r="G28" s="135">
        <f t="shared" si="10"/>
        <v>83.333333333333329</v>
      </c>
      <c r="H28" s="135">
        <f t="shared" si="10"/>
        <v>83.333333333333329</v>
      </c>
      <c r="I28" s="135">
        <f t="shared" si="10"/>
        <v>83.333333333333329</v>
      </c>
      <c r="J28" s="135">
        <f t="shared" si="10"/>
        <v>83.333333333333329</v>
      </c>
      <c r="K28" s="135">
        <f t="shared" si="10"/>
        <v>83.333333333333329</v>
      </c>
      <c r="L28" s="135">
        <f t="shared" si="10"/>
        <v>83.333333333333329</v>
      </c>
      <c r="M28" s="135">
        <f t="shared" si="10"/>
        <v>83.333333333333329</v>
      </c>
      <c r="N28" s="135">
        <f t="shared" si="10"/>
        <v>83.333333333333329</v>
      </c>
      <c r="O28" s="135">
        <f>$P$28/12</f>
        <v>83.333333333333329</v>
      </c>
      <c r="P28" s="136">
        <f>'DG1-17'!M31</f>
        <v>1000</v>
      </c>
    </row>
    <row r="29" spans="2:18" x14ac:dyDescent="0.25">
      <c r="B29" s="131"/>
      <c r="C29" s="143" t="str">
        <f>'DG1-17'!C34:E34</f>
        <v>Machinery (Fuel, Oil, Repair)</v>
      </c>
      <c r="D29" s="135">
        <f>$P$29/12</f>
        <v>208.33333333333334</v>
      </c>
      <c r="E29" s="135">
        <f t="shared" ref="E29:N29" si="11">$P$29/12</f>
        <v>208.33333333333334</v>
      </c>
      <c r="F29" s="135">
        <f t="shared" si="11"/>
        <v>208.33333333333334</v>
      </c>
      <c r="G29" s="135">
        <f t="shared" si="11"/>
        <v>208.33333333333334</v>
      </c>
      <c r="H29" s="135">
        <f t="shared" si="11"/>
        <v>208.33333333333334</v>
      </c>
      <c r="I29" s="135">
        <f t="shared" si="11"/>
        <v>208.33333333333334</v>
      </c>
      <c r="J29" s="135">
        <f t="shared" si="11"/>
        <v>208.33333333333334</v>
      </c>
      <c r="K29" s="135">
        <f t="shared" si="11"/>
        <v>208.33333333333334</v>
      </c>
      <c r="L29" s="135">
        <f t="shared" si="11"/>
        <v>208.33333333333334</v>
      </c>
      <c r="M29" s="135">
        <f t="shared" si="11"/>
        <v>208.33333333333334</v>
      </c>
      <c r="N29" s="135">
        <f t="shared" si="11"/>
        <v>208.33333333333334</v>
      </c>
      <c r="O29" s="135">
        <f>$P$29/12</f>
        <v>208.33333333333334</v>
      </c>
      <c r="P29" s="136">
        <f>'DG1-17'!M34</f>
        <v>2500</v>
      </c>
      <c r="R29" s="145"/>
    </row>
    <row r="30" spans="2:18" x14ac:dyDescent="0.25">
      <c r="B30" s="131"/>
      <c r="C30" s="143" t="str">
        <f>'DG1-17'!C35:E35</f>
        <v>Vehicles (Fuel, Repair)</v>
      </c>
      <c r="D30" s="135">
        <f>$P$30/12</f>
        <v>291.66666666666669</v>
      </c>
      <c r="E30" s="135">
        <f t="shared" ref="E30:N30" si="12">$P$30/12</f>
        <v>291.66666666666669</v>
      </c>
      <c r="F30" s="135">
        <f t="shared" si="12"/>
        <v>291.66666666666669</v>
      </c>
      <c r="G30" s="135">
        <f t="shared" si="12"/>
        <v>291.66666666666669</v>
      </c>
      <c r="H30" s="135">
        <f t="shared" si="12"/>
        <v>291.66666666666669</v>
      </c>
      <c r="I30" s="135">
        <f t="shared" si="12"/>
        <v>291.66666666666669</v>
      </c>
      <c r="J30" s="135">
        <f t="shared" si="12"/>
        <v>291.66666666666669</v>
      </c>
      <c r="K30" s="135">
        <f t="shared" si="12"/>
        <v>291.66666666666669</v>
      </c>
      <c r="L30" s="135">
        <f t="shared" si="12"/>
        <v>291.66666666666669</v>
      </c>
      <c r="M30" s="135">
        <f t="shared" si="12"/>
        <v>291.66666666666669</v>
      </c>
      <c r="N30" s="135">
        <f t="shared" si="12"/>
        <v>291.66666666666669</v>
      </c>
      <c r="O30" s="135">
        <f>$P$30/12</f>
        <v>291.66666666666669</v>
      </c>
      <c r="P30" s="136">
        <f>'DG1-17'!M35</f>
        <v>3500</v>
      </c>
    </row>
    <row r="31" spans="2:18" x14ac:dyDescent="0.25">
      <c r="B31" s="131"/>
      <c r="C31" s="143" t="str">
        <f>'DG1-17'!C36:E36</f>
        <v>Equipment (Repair)</v>
      </c>
      <c r="D31" s="135">
        <f>$P$31/12</f>
        <v>166.66666666666666</v>
      </c>
      <c r="E31" s="135">
        <f t="shared" ref="E31:N31" si="13">$P$31/12</f>
        <v>166.66666666666666</v>
      </c>
      <c r="F31" s="135">
        <f t="shared" si="13"/>
        <v>166.66666666666666</v>
      </c>
      <c r="G31" s="135">
        <f t="shared" si="13"/>
        <v>166.66666666666666</v>
      </c>
      <c r="H31" s="135">
        <f t="shared" si="13"/>
        <v>166.66666666666666</v>
      </c>
      <c r="I31" s="135">
        <f t="shared" si="13"/>
        <v>166.66666666666666</v>
      </c>
      <c r="J31" s="135">
        <f t="shared" si="13"/>
        <v>166.66666666666666</v>
      </c>
      <c r="K31" s="135">
        <f t="shared" si="13"/>
        <v>166.66666666666666</v>
      </c>
      <c r="L31" s="135">
        <f t="shared" si="13"/>
        <v>166.66666666666666</v>
      </c>
      <c r="M31" s="135">
        <f t="shared" si="13"/>
        <v>166.66666666666666</v>
      </c>
      <c r="N31" s="135">
        <f t="shared" si="13"/>
        <v>166.66666666666666</v>
      </c>
      <c r="O31" s="135">
        <f>$P$31/12</f>
        <v>166.66666666666666</v>
      </c>
      <c r="P31" s="136">
        <f>'DG1-17'!M36</f>
        <v>2000</v>
      </c>
      <c r="R31" s="145"/>
    </row>
    <row r="32" spans="2:18" x14ac:dyDescent="0.25">
      <c r="B32" s="131"/>
      <c r="C32" s="143" t="str">
        <f>'DG1-17'!C37:E37</f>
        <v>Buildings &amp; Improvements (Repair)</v>
      </c>
      <c r="D32" s="135">
        <f>$P$32/12</f>
        <v>250</v>
      </c>
      <c r="E32" s="135">
        <f t="shared" ref="E32:N32" si="14">$P$32/12</f>
        <v>250</v>
      </c>
      <c r="F32" s="135">
        <f t="shared" si="14"/>
        <v>250</v>
      </c>
      <c r="G32" s="135">
        <f t="shared" si="14"/>
        <v>250</v>
      </c>
      <c r="H32" s="135">
        <f t="shared" si="14"/>
        <v>250</v>
      </c>
      <c r="I32" s="135">
        <f t="shared" si="14"/>
        <v>250</v>
      </c>
      <c r="J32" s="135">
        <f t="shared" si="14"/>
        <v>250</v>
      </c>
      <c r="K32" s="135">
        <f t="shared" si="14"/>
        <v>250</v>
      </c>
      <c r="L32" s="135">
        <f t="shared" si="14"/>
        <v>250</v>
      </c>
      <c r="M32" s="135">
        <f t="shared" si="14"/>
        <v>250</v>
      </c>
      <c r="N32" s="135">
        <f t="shared" si="14"/>
        <v>250</v>
      </c>
      <c r="O32" s="135">
        <f>$P$32/12</f>
        <v>250</v>
      </c>
      <c r="P32" s="136">
        <f>'DG1-17'!M37</f>
        <v>3000</v>
      </c>
      <c r="R32" s="145"/>
    </row>
    <row r="33" spans="1:18" x14ac:dyDescent="0.25">
      <c r="B33" s="131"/>
      <c r="C33" s="143" t="str">
        <f>'DG1-17'!C38:E38</f>
        <v>Interest on Operating Capital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>
        <f>P33</f>
        <v>3250</v>
      </c>
      <c r="P33" s="136">
        <f>'DG1-17'!M38</f>
        <v>3250</v>
      </c>
      <c r="R33" s="145"/>
    </row>
    <row r="34" spans="1:18" x14ac:dyDescent="0.25">
      <c r="B34" s="131"/>
      <c r="C34" s="131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/>
    </row>
    <row r="35" spans="1:18" s="139" customFormat="1" x14ac:dyDescent="0.25">
      <c r="A35" s="137"/>
      <c r="B35" s="133" t="s">
        <v>71</v>
      </c>
      <c r="C35" s="133"/>
      <c r="D35" s="136">
        <f t="shared" ref="D35:N35" si="15">SUM(D16:D33)</f>
        <v>14720.833333333334</v>
      </c>
      <c r="E35" s="136">
        <f t="shared" si="15"/>
        <v>14720.833333333334</v>
      </c>
      <c r="F35" s="136">
        <f t="shared" si="15"/>
        <v>14720.833333333334</v>
      </c>
      <c r="G35" s="136">
        <f t="shared" si="15"/>
        <v>14720.833333333334</v>
      </c>
      <c r="H35" s="136">
        <f t="shared" si="15"/>
        <v>14720.833333333334</v>
      </c>
      <c r="I35" s="136">
        <f t="shared" si="15"/>
        <v>14720.833333333334</v>
      </c>
      <c r="J35" s="136">
        <f t="shared" si="15"/>
        <v>14720.833333333334</v>
      </c>
      <c r="K35" s="136">
        <f t="shared" si="15"/>
        <v>14720.833333333334</v>
      </c>
      <c r="L35" s="136">
        <f t="shared" si="15"/>
        <v>14720.833333333334</v>
      </c>
      <c r="M35" s="136">
        <f t="shared" si="15"/>
        <v>14720.833333333334</v>
      </c>
      <c r="N35" s="136">
        <f t="shared" si="15"/>
        <v>14720.833333333334</v>
      </c>
      <c r="O35" s="136">
        <f>SUM(O16:O33)</f>
        <v>18270.833333333336</v>
      </c>
      <c r="P35" s="136">
        <f>SUM(P16:P32)</f>
        <v>176950</v>
      </c>
    </row>
    <row r="36" spans="1:18" x14ac:dyDescent="0.25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</row>
    <row r="37" spans="1:18" x14ac:dyDescent="0.25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1:18" s="139" customFormat="1" x14ac:dyDescent="0.25">
      <c r="A38" s="137"/>
      <c r="B38" s="133" t="s">
        <v>72</v>
      </c>
      <c r="C38" s="133"/>
      <c r="D38" s="136">
        <f t="shared" ref="D38:P38" si="16">D12-D35</f>
        <v>-7610.4333333333334</v>
      </c>
      <c r="E38" s="136">
        <f t="shared" si="16"/>
        <v>-4354.1833333333325</v>
      </c>
      <c r="F38" s="136">
        <f t="shared" si="16"/>
        <v>13535.416666666666</v>
      </c>
      <c r="G38" s="136">
        <f t="shared" si="16"/>
        <v>13535.416666666666</v>
      </c>
      <c r="H38" s="136">
        <f t="shared" si="16"/>
        <v>13535.416666666666</v>
      </c>
      <c r="I38" s="136">
        <f t="shared" si="16"/>
        <v>12279.166666666666</v>
      </c>
      <c r="J38" s="136">
        <f t="shared" si="16"/>
        <v>12279.166666666666</v>
      </c>
      <c r="K38" s="136">
        <f t="shared" si="16"/>
        <v>12279.166666666666</v>
      </c>
      <c r="L38" s="136">
        <f t="shared" si="16"/>
        <v>15712.416666666666</v>
      </c>
      <c r="M38" s="136">
        <f t="shared" si="16"/>
        <v>15112.416666666666</v>
      </c>
      <c r="N38" s="136">
        <f t="shared" si="16"/>
        <v>13112.416666666666</v>
      </c>
      <c r="O38" s="136">
        <f t="shared" si="16"/>
        <v>8729.1666666666642</v>
      </c>
      <c r="P38" s="136">
        <f t="shared" si="16"/>
        <v>-34850</v>
      </c>
    </row>
    <row r="39" spans="1:18" x14ac:dyDescent="0.25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  <row r="40" spans="1:18" x14ac:dyDescent="0.25"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</row>
    <row r="41" spans="1:18" x14ac:dyDescent="0.25"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1:18" s="127" customFormat="1" ht="30" customHeight="1" x14ac:dyDescent="0.25">
      <c r="A42" s="122"/>
      <c r="B42" s="146" t="s">
        <v>73</v>
      </c>
      <c r="C42" s="146"/>
      <c r="D42" s="146"/>
      <c r="E42" s="146"/>
      <c r="F42" s="146"/>
      <c r="G42" s="146"/>
      <c r="H42" s="146"/>
      <c r="I42" s="146"/>
      <c r="J42" s="146"/>
      <c r="K42" s="146"/>
      <c r="L42" s="124"/>
      <c r="M42" s="125"/>
      <c r="N42" s="125"/>
      <c r="O42" s="125"/>
      <c r="P42" s="147"/>
    </row>
    <row r="43" spans="1:18" s="151" customFormat="1" ht="30" customHeight="1" thickBot="1" x14ac:dyDescent="0.3">
      <c r="A43" s="148"/>
      <c r="B43" s="149" t="s">
        <v>74</v>
      </c>
      <c r="C43" s="150"/>
      <c r="D43" s="130" t="s">
        <v>75</v>
      </c>
      <c r="E43" s="130" t="s">
        <v>56</v>
      </c>
      <c r="F43" s="130" t="s">
        <v>57</v>
      </c>
      <c r="G43" s="130" t="s">
        <v>58</v>
      </c>
      <c r="H43" s="130" t="s">
        <v>59</v>
      </c>
      <c r="I43" s="130" t="s">
        <v>60</v>
      </c>
      <c r="J43" s="130" t="s">
        <v>61</v>
      </c>
      <c r="K43" s="130" t="s">
        <v>62</v>
      </c>
      <c r="L43" s="130" t="s">
        <v>63</v>
      </c>
      <c r="M43" s="130" t="s">
        <v>64</v>
      </c>
      <c r="N43" s="130" t="s">
        <v>65</v>
      </c>
      <c r="O43" s="130" t="s">
        <v>66</v>
      </c>
      <c r="P43" s="130" t="s">
        <v>67</v>
      </c>
    </row>
    <row r="44" spans="1:18" x14ac:dyDescent="0.25"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</row>
    <row r="45" spans="1:18" x14ac:dyDescent="0.25">
      <c r="B45" s="134" t="s">
        <v>32</v>
      </c>
      <c r="C45" s="131"/>
      <c r="D45" s="152" t="s">
        <v>10</v>
      </c>
      <c r="E45" s="135">
        <v>17</v>
      </c>
      <c r="F45" s="135">
        <v>17</v>
      </c>
      <c r="G45" s="135">
        <v>17</v>
      </c>
      <c r="H45" s="135">
        <v>17</v>
      </c>
      <c r="I45" s="135">
        <v>17</v>
      </c>
      <c r="J45" s="135">
        <v>17</v>
      </c>
      <c r="K45" s="135">
        <v>17</v>
      </c>
      <c r="L45" s="135">
        <v>17</v>
      </c>
      <c r="M45" s="135">
        <v>17</v>
      </c>
      <c r="N45" s="135">
        <v>17</v>
      </c>
      <c r="O45" s="135">
        <v>17</v>
      </c>
      <c r="P45" s="135">
        <v>17</v>
      </c>
    </row>
    <row r="46" spans="1:18" x14ac:dyDescent="0.25">
      <c r="B46" s="131" t="s">
        <v>115</v>
      </c>
      <c r="C46" s="131"/>
      <c r="D46" s="152" t="s">
        <v>10</v>
      </c>
      <c r="E46" s="135">
        <v>17</v>
      </c>
      <c r="F46" s="135">
        <v>17</v>
      </c>
      <c r="G46" s="135">
        <v>17</v>
      </c>
      <c r="H46" s="135">
        <v>17</v>
      </c>
      <c r="I46" s="135">
        <v>17</v>
      </c>
      <c r="J46" s="135">
        <v>17</v>
      </c>
      <c r="K46" s="135">
        <v>17</v>
      </c>
      <c r="L46" s="135">
        <v>17</v>
      </c>
      <c r="M46" s="135">
        <v>17</v>
      </c>
      <c r="N46" s="135">
        <v>17</v>
      </c>
      <c r="O46" s="135">
        <v>17</v>
      </c>
      <c r="P46" s="135">
        <v>17</v>
      </c>
    </row>
    <row r="47" spans="1:18" x14ac:dyDescent="0.25"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</row>
    <row r="48" spans="1:18" x14ac:dyDescent="0.25"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</row>
    <row r="49" spans="3:16" x14ac:dyDescent="0.25">
      <c r="C49" s="153"/>
      <c r="D49" s="153"/>
      <c r="E49" s="153"/>
      <c r="F49" s="153"/>
      <c r="G49" s="131"/>
      <c r="H49" s="131"/>
      <c r="I49" s="121"/>
      <c r="J49" s="121"/>
      <c r="K49" s="121"/>
      <c r="L49" s="121"/>
      <c r="M49" s="121"/>
      <c r="N49" s="121"/>
      <c r="O49" s="121"/>
      <c r="P49" s="121"/>
    </row>
    <row r="50" spans="3:16" ht="42" customHeight="1" thickBot="1" x14ac:dyDescent="0.3">
      <c r="C50" s="213" t="s">
        <v>76</v>
      </c>
      <c r="D50" s="213"/>
      <c r="E50" s="213"/>
      <c r="F50" s="213"/>
      <c r="G50" s="131"/>
      <c r="H50" s="131"/>
      <c r="I50" s="121"/>
      <c r="J50" s="121"/>
      <c r="K50" s="121"/>
      <c r="L50" s="121"/>
      <c r="M50" s="121"/>
      <c r="N50" s="121"/>
      <c r="O50" s="121"/>
      <c r="P50" s="121"/>
    </row>
    <row r="51" spans="3:16" ht="26.25" customHeight="1" x14ac:dyDescent="0.25">
      <c r="C51" s="214" t="s">
        <v>77</v>
      </c>
      <c r="D51" s="210" t="s">
        <v>78</v>
      </c>
      <c r="E51" s="210" t="s">
        <v>127</v>
      </c>
      <c r="F51" s="210" t="s">
        <v>79</v>
      </c>
      <c r="G51" s="131"/>
      <c r="H51" s="121"/>
      <c r="I51" s="121"/>
      <c r="J51" s="121"/>
      <c r="K51" s="121"/>
      <c r="L51" s="121"/>
      <c r="M51" s="121"/>
      <c r="N51" s="121"/>
      <c r="O51" s="121"/>
      <c r="P51" s="121"/>
    </row>
    <row r="52" spans="3:16" ht="26.25" customHeight="1" x14ac:dyDescent="0.25">
      <c r="C52" s="215"/>
      <c r="D52" s="211"/>
      <c r="E52" s="211"/>
      <c r="F52" s="211"/>
      <c r="G52" s="121"/>
      <c r="H52" s="121"/>
      <c r="I52" s="121"/>
      <c r="J52" s="121"/>
      <c r="K52" s="121"/>
      <c r="L52" s="121"/>
      <c r="M52" s="121"/>
      <c r="N52" s="121"/>
      <c r="O52" s="121"/>
      <c r="P52" s="121"/>
    </row>
    <row r="53" spans="3:16" ht="26.25" customHeight="1" thickBot="1" x14ac:dyDescent="0.3">
      <c r="C53" s="216"/>
      <c r="D53" s="212"/>
      <c r="E53" s="212"/>
      <c r="F53" s="212"/>
      <c r="G53" s="121"/>
      <c r="H53" s="121"/>
      <c r="I53" s="121"/>
      <c r="J53" s="121"/>
      <c r="K53" s="121"/>
      <c r="L53" s="121"/>
      <c r="M53" s="121"/>
      <c r="N53" s="121"/>
      <c r="O53" s="121"/>
      <c r="P53" s="121"/>
    </row>
    <row r="54" spans="3:16" x14ac:dyDescent="0.25">
      <c r="C54" s="131" t="s">
        <v>108</v>
      </c>
      <c r="D54" s="152">
        <v>5.5</v>
      </c>
      <c r="E54" s="154">
        <v>6</v>
      </c>
      <c r="F54" s="152">
        <v>305</v>
      </c>
      <c r="G54" s="121"/>
      <c r="H54" s="121"/>
      <c r="I54" s="121"/>
      <c r="J54" s="121"/>
      <c r="K54" s="121"/>
      <c r="L54" s="121"/>
      <c r="M54" s="121"/>
      <c r="N54" s="121"/>
      <c r="O54" s="121"/>
      <c r="P54" s="121"/>
    </row>
    <row r="55" spans="3:16" x14ac:dyDescent="0.25">
      <c r="C55" s="131" t="s">
        <v>109</v>
      </c>
      <c r="D55" s="152">
        <v>5</v>
      </c>
      <c r="E55" s="154">
        <v>2.5</v>
      </c>
      <c r="F55" s="152">
        <v>60</v>
      </c>
      <c r="G55" s="121"/>
      <c r="H55" s="121"/>
      <c r="I55" s="121"/>
      <c r="J55" s="121"/>
      <c r="K55" s="121"/>
      <c r="L55" s="121"/>
      <c r="M55" s="121"/>
      <c r="N55" s="121"/>
      <c r="O55" s="121"/>
      <c r="P55" s="121"/>
    </row>
    <row r="56" spans="3:16" x14ac:dyDescent="0.25">
      <c r="C56" s="142" t="s">
        <v>107</v>
      </c>
      <c r="D56" s="155">
        <v>8</v>
      </c>
      <c r="E56" s="155">
        <v>2</v>
      </c>
      <c r="F56" s="155">
        <v>365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  <row r="57" spans="3:16" x14ac:dyDescent="0.25">
      <c r="C57" s="131"/>
      <c r="D57" s="152"/>
      <c r="E57" s="152"/>
      <c r="F57" s="152"/>
      <c r="G57" s="121"/>
      <c r="H57" s="121"/>
      <c r="I57" s="121"/>
      <c r="J57" s="121"/>
      <c r="K57" s="121"/>
      <c r="L57" s="121"/>
      <c r="M57" s="121"/>
      <c r="N57" s="121"/>
      <c r="O57" s="121"/>
      <c r="P57" s="121"/>
    </row>
  </sheetData>
  <mergeCells count="5">
    <mergeCell ref="F51:F53"/>
    <mergeCell ref="C50:F50"/>
    <mergeCell ref="C51:C53"/>
    <mergeCell ref="D51:D53"/>
    <mergeCell ref="E51:E53"/>
  </mergeCells>
  <pageMargins left="0.7" right="0.7" top="0.75" bottom="0.75" header="0.3" footer="0.3"/>
  <ignoredErrors>
    <ignoredError sqref="C16:O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5"/>
  <sheetViews>
    <sheetView workbookViewId="0">
      <selection activeCell="D47" sqref="D47:D48"/>
    </sheetView>
  </sheetViews>
  <sheetFormatPr defaultRowHeight="18" x14ac:dyDescent="0.25"/>
  <cols>
    <col min="1" max="1" width="3.75" style="121" customWidth="1"/>
    <col min="2" max="2" width="2.5" style="165" customWidth="1"/>
    <col min="3" max="3" width="29.875" style="165" bestFit="1" customWidth="1"/>
    <col min="4" max="5" width="16.625" style="165" customWidth="1"/>
    <col min="6" max="6" width="16.625" style="181" customWidth="1"/>
    <col min="7" max="7" width="12.625" style="165" customWidth="1"/>
    <col min="8" max="8" width="18.25" style="165" customWidth="1"/>
    <col min="9" max="9" width="18.875" style="165" customWidth="1"/>
    <col min="10" max="10" width="1.625" style="165" bestFit="1" customWidth="1"/>
    <col min="11" max="11" width="27.375" style="165" customWidth="1"/>
    <col min="12" max="16384" width="9" style="165"/>
  </cols>
  <sheetData>
    <row r="1" spans="1:11" s="121" customFormat="1" x14ac:dyDescent="0.25">
      <c r="F1" s="154"/>
    </row>
    <row r="2" spans="1:11" s="127" customFormat="1" ht="30" customHeight="1" x14ac:dyDescent="0.25">
      <c r="A2" s="122"/>
      <c r="B2" s="123" t="s">
        <v>80</v>
      </c>
      <c r="C2" s="123"/>
      <c r="D2" s="123"/>
      <c r="E2" s="123"/>
      <c r="F2" s="156"/>
      <c r="G2" s="123"/>
      <c r="H2" s="123"/>
      <c r="I2" s="126" t="s">
        <v>110</v>
      </c>
      <c r="J2" s="125"/>
    </row>
    <row r="3" spans="1:11" s="127" customFormat="1" ht="42" customHeight="1" thickBot="1" x14ac:dyDescent="0.3">
      <c r="A3" s="122"/>
      <c r="B3" s="128"/>
      <c r="C3" s="129"/>
      <c r="D3" s="157" t="s">
        <v>81</v>
      </c>
      <c r="E3" s="157" t="s">
        <v>82</v>
      </c>
      <c r="F3" s="157" t="s">
        <v>83</v>
      </c>
      <c r="G3" s="157" t="s">
        <v>84</v>
      </c>
      <c r="H3" s="157" t="s">
        <v>85</v>
      </c>
      <c r="I3" s="157" t="s">
        <v>86</v>
      </c>
      <c r="J3" s="158">
        <v>1</v>
      </c>
    </row>
    <row r="4" spans="1:11" s="132" customFormat="1" x14ac:dyDescent="0.25">
      <c r="A4" s="121"/>
      <c r="B4" s="131"/>
      <c r="C4" s="131"/>
      <c r="D4" s="131"/>
      <c r="E4" s="131"/>
      <c r="F4" s="152"/>
      <c r="G4" s="131"/>
      <c r="H4" s="131"/>
      <c r="I4" s="131"/>
      <c r="J4" s="131"/>
    </row>
    <row r="5" spans="1:11" s="161" customFormat="1" x14ac:dyDescent="0.25">
      <c r="A5" s="137"/>
      <c r="B5" s="133" t="s">
        <v>87</v>
      </c>
      <c r="C5" s="133"/>
      <c r="D5" s="133"/>
      <c r="E5" s="133"/>
      <c r="F5" s="159"/>
      <c r="G5" s="133"/>
      <c r="H5" s="133"/>
      <c r="I5" s="133"/>
      <c r="J5" s="133"/>
      <c r="K5" s="160" t="s">
        <v>88</v>
      </c>
    </row>
    <row r="6" spans="1:11" s="161" customFormat="1" x14ac:dyDescent="0.25">
      <c r="A6" s="137"/>
      <c r="B6" s="133" t="s">
        <v>89</v>
      </c>
      <c r="C6" s="133"/>
      <c r="D6" s="133"/>
      <c r="E6" s="133"/>
      <c r="F6" s="159"/>
      <c r="G6" s="133"/>
      <c r="H6" s="133"/>
      <c r="I6" s="133"/>
      <c r="J6" s="133"/>
      <c r="K6" s="162">
        <v>0.05</v>
      </c>
    </row>
    <row r="7" spans="1:11" x14ac:dyDescent="0.25">
      <c r="B7" s="131"/>
      <c r="C7" s="131" t="s">
        <v>121</v>
      </c>
      <c r="D7" s="135">
        <v>100000</v>
      </c>
      <c r="E7" s="135">
        <v>50000</v>
      </c>
      <c r="F7" s="152">
        <v>100</v>
      </c>
      <c r="G7" s="152">
        <v>30</v>
      </c>
      <c r="H7" s="163">
        <f>D7*0.0035</f>
        <v>350</v>
      </c>
      <c r="I7" s="164">
        <f t="shared" ref="I7:I15" si="0">(PMT($K$6,G7,-D7))+(PMT($K$6,G7,,E7))</f>
        <v>5752.5717540138285</v>
      </c>
      <c r="J7" s="131"/>
    </row>
    <row r="8" spans="1:11" x14ac:dyDescent="0.25">
      <c r="B8" s="131"/>
      <c r="C8" s="131" t="s">
        <v>52</v>
      </c>
      <c r="D8" s="135">
        <v>40000</v>
      </c>
      <c r="E8" s="135">
        <v>10000</v>
      </c>
      <c r="F8" s="152">
        <v>100</v>
      </c>
      <c r="G8" s="152">
        <v>30</v>
      </c>
      <c r="H8" s="163">
        <f t="shared" ref="H8:H15" si="1">D8*0.0035</f>
        <v>140</v>
      </c>
      <c r="I8" s="164">
        <f t="shared" si="0"/>
        <v>2451.5430524082976</v>
      </c>
      <c r="J8" s="131"/>
    </row>
    <row r="9" spans="1:11" x14ac:dyDescent="0.25">
      <c r="B9" s="131"/>
      <c r="C9" s="131" t="s">
        <v>122</v>
      </c>
      <c r="D9" s="135">
        <v>10000</v>
      </c>
      <c r="E9" s="135">
        <v>5000</v>
      </c>
      <c r="F9" s="152">
        <v>100</v>
      </c>
      <c r="G9" s="152">
        <v>15</v>
      </c>
      <c r="H9" s="163">
        <f t="shared" si="1"/>
        <v>35</v>
      </c>
      <c r="I9" s="164">
        <f t="shared" si="0"/>
        <v>731.71143804622182</v>
      </c>
      <c r="J9" s="131"/>
    </row>
    <row r="10" spans="1:11" x14ac:dyDescent="0.25">
      <c r="B10" s="131"/>
      <c r="C10" s="131" t="s">
        <v>90</v>
      </c>
      <c r="D10" s="135">
        <v>25000</v>
      </c>
      <c r="E10" s="135">
        <v>5000</v>
      </c>
      <c r="F10" s="152">
        <v>100</v>
      </c>
      <c r="G10" s="152">
        <v>30</v>
      </c>
      <c r="H10" s="163">
        <f t="shared" si="1"/>
        <v>87.5</v>
      </c>
      <c r="I10" s="164">
        <f t="shared" si="0"/>
        <v>1551.0287016055315</v>
      </c>
      <c r="J10" s="131"/>
    </row>
    <row r="11" spans="1:11" x14ac:dyDescent="0.25">
      <c r="B11" s="131"/>
      <c r="C11" s="131" t="s">
        <v>91</v>
      </c>
      <c r="D11" s="135">
        <v>5000</v>
      </c>
      <c r="E11" s="135">
        <v>2000</v>
      </c>
      <c r="F11" s="152">
        <v>100</v>
      </c>
      <c r="G11" s="152">
        <v>30</v>
      </c>
      <c r="H11" s="163">
        <f t="shared" si="1"/>
        <v>17.5</v>
      </c>
      <c r="I11" s="164">
        <f t="shared" si="0"/>
        <v>295.15430524082979</v>
      </c>
      <c r="J11" s="131"/>
    </row>
    <row r="12" spans="1:11" x14ac:dyDescent="0.25">
      <c r="B12" s="131"/>
      <c r="C12" s="131" t="s">
        <v>120</v>
      </c>
      <c r="D12" s="135">
        <v>10000</v>
      </c>
      <c r="E12" s="135">
        <v>2000</v>
      </c>
      <c r="F12" s="152">
        <v>100</v>
      </c>
      <c r="G12" s="152">
        <v>30</v>
      </c>
      <c r="H12" s="163">
        <f>D12*0.0035</f>
        <v>35</v>
      </c>
      <c r="I12" s="164">
        <f t="shared" si="0"/>
        <v>620.41148064221272</v>
      </c>
      <c r="J12" s="131"/>
    </row>
    <row r="13" spans="1:11" x14ac:dyDescent="0.25">
      <c r="B13" s="131"/>
      <c r="C13" s="131" t="s">
        <v>119</v>
      </c>
      <c r="D13" s="135">
        <v>1000</v>
      </c>
      <c r="E13" s="135">
        <v>250</v>
      </c>
      <c r="F13" s="152">
        <v>100</v>
      </c>
      <c r="G13" s="152">
        <v>10</v>
      </c>
      <c r="H13" s="163">
        <f t="shared" si="1"/>
        <v>3.5</v>
      </c>
      <c r="I13" s="164">
        <f t="shared" si="0"/>
        <v>109.62843122409251</v>
      </c>
      <c r="J13" s="131"/>
    </row>
    <row r="14" spans="1:11" x14ac:dyDescent="0.25">
      <c r="B14" s="131"/>
      <c r="C14" s="131" t="s">
        <v>92</v>
      </c>
      <c r="D14" s="135">
        <v>500</v>
      </c>
      <c r="E14" s="135">
        <v>0</v>
      </c>
      <c r="F14" s="152">
        <v>100</v>
      </c>
      <c r="G14" s="152">
        <v>15</v>
      </c>
      <c r="H14" s="163">
        <f t="shared" si="1"/>
        <v>1.75</v>
      </c>
      <c r="I14" s="164">
        <f t="shared" si="0"/>
        <v>48.171143804622183</v>
      </c>
      <c r="J14" s="131"/>
    </row>
    <row r="15" spans="1:11" x14ac:dyDescent="0.25">
      <c r="B15" s="131"/>
      <c r="C15" s="131" t="s">
        <v>93</v>
      </c>
      <c r="D15" s="135">
        <v>3000</v>
      </c>
      <c r="E15" s="135">
        <v>500</v>
      </c>
      <c r="F15" s="152">
        <v>100</v>
      </c>
      <c r="G15" s="152">
        <v>20</v>
      </c>
      <c r="H15" s="163">
        <f t="shared" si="1"/>
        <v>10.5</v>
      </c>
      <c r="I15" s="164">
        <f t="shared" si="0"/>
        <v>225.60646797672831</v>
      </c>
      <c r="J15" s="131"/>
    </row>
    <row r="16" spans="1:11" x14ac:dyDescent="0.25">
      <c r="B16" s="131"/>
      <c r="C16" s="131"/>
      <c r="D16" s="131"/>
      <c r="E16" s="131"/>
      <c r="F16" s="152"/>
      <c r="G16" s="131"/>
      <c r="H16" s="131"/>
      <c r="I16" s="164"/>
      <c r="J16" s="131"/>
    </row>
    <row r="17" spans="1:10" s="161" customFormat="1" x14ac:dyDescent="0.25">
      <c r="A17" s="137"/>
      <c r="B17" s="133" t="s">
        <v>8</v>
      </c>
      <c r="C17" s="133"/>
      <c r="D17" s="166">
        <f>SUM(D7:D15)</f>
        <v>194500</v>
      </c>
      <c r="E17" s="133"/>
      <c r="F17" s="159"/>
      <c r="G17" s="133"/>
      <c r="H17" s="167">
        <f>SUM(H7:H15)</f>
        <v>680.75</v>
      </c>
      <c r="I17" s="167">
        <f>SUM(I7:I15)</f>
        <v>11785.826774962368</v>
      </c>
      <c r="J17" s="133"/>
    </row>
    <row r="18" spans="1:10" x14ac:dyDescent="0.25">
      <c r="B18" s="142"/>
      <c r="C18" s="142"/>
      <c r="D18" s="142"/>
      <c r="E18" s="142"/>
      <c r="F18" s="155"/>
      <c r="G18" s="142"/>
      <c r="H18" s="142"/>
      <c r="I18" s="164"/>
      <c r="J18" s="142"/>
    </row>
    <row r="19" spans="1:10" x14ac:dyDescent="0.25">
      <c r="B19" s="131"/>
      <c r="C19" s="131"/>
      <c r="D19" s="131"/>
      <c r="E19" s="131"/>
      <c r="F19" s="152"/>
      <c r="G19" s="131"/>
      <c r="H19" s="131"/>
      <c r="I19" s="168"/>
      <c r="J19" s="131"/>
    </row>
    <row r="20" spans="1:10" s="161" customFormat="1" x14ac:dyDescent="0.25">
      <c r="A20" s="137"/>
      <c r="B20" s="133" t="s">
        <v>94</v>
      </c>
      <c r="C20" s="133"/>
      <c r="D20" s="133"/>
      <c r="E20" s="133"/>
      <c r="F20" s="159"/>
      <c r="G20" s="133"/>
      <c r="H20" s="133"/>
      <c r="I20" s="164"/>
      <c r="J20" s="133"/>
    </row>
    <row r="21" spans="1:10" x14ac:dyDescent="0.25">
      <c r="B21" s="131"/>
      <c r="C21" s="131" t="s">
        <v>111</v>
      </c>
      <c r="D21" s="135">
        <f>800*6</f>
        <v>4800</v>
      </c>
      <c r="E21" s="135">
        <f>300*6</f>
        <v>1800</v>
      </c>
      <c r="F21" s="152">
        <v>100</v>
      </c>
      <c r="G21" s="152">
        <v>5</v>
      </c>
      <c r="H21" s="163"/>
      <c r="I21" s="169">
        <f>(PMT($K$6,G21,-D21))+(PMT($K$6,G21,,E21))</f>
        <v>782.92439438480449</v>
      </c>
      <c r="J21" s="170">
        <v>2</v>
      </c>
    </row>
    <row r="22" spans="1:10" x14ac:dyDescent="0.25">
      <c r="B22" s="131"/>
      <c r="C22" s="131" t="s">
        <v>105</v>
      </c>
      <c r="D22" s="135">
        <f>40*500</f>
        <v>20000</v>
      </c>
      <c r="E22" s="135">
        <f>30*200</f>
        <v>6000</v>
      </c>
      <c r="F22" s="152">
        <v>100</v>
      </c>
      <c r="G22" s="152">
        <v>7</v>
      </c>
      <c r="H22" s="163"/>
      <c r="I22" s="169">
        <f>(PMT($K$6,G22,-D22))+(PMT($K$6,G22,,E22))</f>
        <v>2719.4774582463901</v>
      </c>
      <c r="J22" s="170"/>
    </row>
    <row r="23" spans="1:10" x14ac:dyDescent="0.25">
      <c r="B23" s="131"/>
      <c r="C23" s="131"/>
      <c r="D23" s="135"/>
      <c r="E23" s="135"/>
      <c r="F23" s="152"/>
      <c r="G23" s="152"/>
      <c r="H23" s="163"/>
      <c r="I23" s="164"/>
      <c r="J23" s="131"/>
    </row>
    <row r="24" spans="1:10" s="161" customFormat="1" x14ac:dyDescent="0.25">
      <c r="A24" s="137"/>
      <c r="B24" s="133" t="s">
        <v>8</v>
      </c>
      <c r="C24" s="133"/>
      <c r="D24" s="166">
        <f>SUM(D21:D22)</f>
        <v>24800</v>
      </c>
      <c r="E24" s="136"/>
      <c r="F24" s="159"/>
      <c r="G24" s="159"/>
      <c r="H24" s="171"/>
      <c r="I24" s="172">
        <f>SUM(I21:I22)</f>
        <v>3502.4018526311947</v>
      </c>
      <c r="J24" s="133"/>
    </row>
    <row r="25" spans="1:10" x14ac:dyDescent="0.25">
      <c r="B25" s="142"/>
      <c r="C25" s="142"/>
      <c r="D25" s="173"/>
      <c r="E25" s="173"/>
      <c r="F25" s="155"/>
      <c r="G25" s="142"/>
      <c r="H25" s="174"/>
      <c r="I25" s="164"/>
      <c r="J25" s="142"/>
    </row>
    <row r="26" spans="1:10" x14ac:dyDescent="0.25">
      <c r="B26" s="131"/>
      <c r="C26" s="131"/>
      <c r="D26" s="135"/>
      <c r="E26" s="135"/>
      <c r="F26" s="152"/>
      <c r="G26" s="131"/>
      <c r="H26" s="163"/>
      <c r="I26" s="175"/>
      <c r="J26" s="131"/>
    </row>
    <row r="27" spans="1:10" s="161" customFormat="1" x14ac:dyDescent="0.25">
      <c r="A27" s="137"/>
      <c r="B27" s="133" t="s">
        <v>95</v>
      </c>
      <c r="C27" s="133"/>
      <c r="D27" s="136"/>
      <c r="E27" s="136"/>
      <c r="F27" s="159"/>
      <c r="G27" s="133"/>
      <c r="H27" s="171"/>
      <c r="I27" s="164"/>
      <c r="J27" s="133"/>
    </row>
    <row r="28" spans="1:10" x14ac:dyDescent="0.25">
      <c r="B28" s="131"/>
      <c r="C28" s="131" t="s">
        <v>112</v>
      </c>
      <c r="D28" s="135">
        <f>200*500</f>
        <v>100000</v>
      </c>
      <c r="E28" s="135">
        <f>200*200</f>
        <v>40000</v>
      </c>
      <c r="F28" s="152">
        <v>100</v>
      </c>
      <c r="G28" s="131"/>
      <c r="H28" s="163"/>
      <c r="I28" s="164">
        <f>D28*$K$6</f>
        <v>5000</v>
      </c>
      <c r="J28" s="131"/>
    </row>
    <row r="29" spans="1:10" x14ac:dyDescent="0.25">
      <c r="B29" s="131"/>
      <c r="C29" s="131"/>
      <c r="D29" s="135"/>
      <c r="E29" s="135"/>
      <c r="F29" s="152"/>
      <c r="G29" s="131"/>
      <c r="H29" s="163"/>
      <c r="I29" s="164"/>
      <c r="J29" s="131"/>
    </row>
    <row r="30" spans="1:10" s="161" customFormat="1" x14ac:dyDescent="0.25">
      <c r="A30" s="137"/>
      <c r="B30" s="133" t="s">
        <v>8</v>
      </c>
      <c r="C30" s="133"/>
      <c r="D30" s="166">
        <f>SUM(D28:D28)</f>
        <v>100000</v>
      </c>
      <c r="E30" s="136"/>
      <c r="F30" s="159"/>
      <c r="G30" s="133"/>
      <c r="H30" s="171"/>
      <c r="I30" s="172">
        <f>SUM(I28:I28)</f>
        <v>5000</v>
      </c>
      <c r="J30" s="133"/>
    </row>
    <row r="31" spans="1:10" x14ac:dyDescent="0.25">
      <c r="B31" s="142"/>
      <c r="C31" s="142"/>
      <c r="D31" s="173"/>
      <c r="E31" s="173"/>
      <c r="F31" s="155"/>
      <c r="G31" s="142"/>
      <c r="H31" s="174"/>
      <c r="I31" s="164"/>
      <c r="J31" s="142"/>
    </row>
    <row r="32" spans="1:10" x14ac:dyDescent="0.25">
      <c r="B32" s="131"/>
      <c r="C32" s="131"/>
      <c r="D32" s="135"/>
      <c r="E32" s="135"/>
      <c r="F32" s="152"/>
      <c r="G32" s="131"/>
      <c r="H32" s="163"/>
      <c r="I32" s="175"/>
      <c r="J32" s="131"/>
    </row>
    <row r="33" spans="1:10" s="161" customFormat="1" x14ac:dyDescent="0.25">
      <c r="A33" s="137"/>
      <c r="B33" s="133" t="s">
        <v>96</v>
      </c>
      <c r="C33" s="133"/>
      <c r="D33" s="136"/>
      <c r="E33" s="136"/>
      <c r="F33" s="159"/>
      <c r="G33" s="133"/>
      <c r="H33" s="171"/>
      <c r="I33" s="164"/>
      <c r="J33" s="133"/>
    </row>
    <row r="34" spans="1:10" x14ac:dyDescent="0.25">
      <c r="B34" s="131"/>
      <c r="C34" s="131" t="s">
        <v>125</v>
      </c>
      <c r="D34" s="135">
        <v>15000</v>
      </c>
      <c r="E34" s="135">
        <v>5000</v>
      </c>
      <c r="F34" s="152">
        <v>100</v>
      </c>
      <c r="G34" s="152">
        <v>18</v>
      </c>
      <c r="H34" s="163">
        <f>D34*0.0035</f>
        <v>52.5</v>
      </c>
      <c r="I34" s="164">
        <f>(PMT($K$6,G34,-D34))+(PMT($K$6,G34,,E34))</f>
        <v>1105.4622231973601</v>
      </c>
      <c r="J34" s="131"/>
    </row>
    <row r="35" spans="1:10" x14ac:dyDescent="0.25">
      <c r="B35" s="131"/>
      <c r="C35" s="131" t="s">
        <v>123</v>
      </c>
      <c r="D35" s="135">
        <v>20000</v>
      </c>
      <c r="E35" s="135">
        <v>5000</v>
      </c>
      <c r="F35" s="152">
        <v>100</v>
      </c>
      <c r="G35" s="152">
        <v>10</v>
      </c>
      <c r="H35" s="163">
        <f>D35*0.009</f>
        <v>180</v>
      </c>
      <c r="I35" s="164">
        <f>(PMT($K$6,G35,-D35))+(PMT($K$6,G35,,E35))</f>
        <v>2192.5686244818498</v>
      </c>
      <c r="J35" s="131"/>
    </row>
    <row r="36" spans="1:10" x14ac:dyDescent="0.25">
      <c r="B36" s="131"/>
      <c r="C36" s="131" t="s">
        <v>124</v>
      </c>
      <c r="D36" s="135">
        <v>5000</v>
      </c>
      <c r="E36" s="135">
        <v>1000</v>
      </c>
      <c r="F36" s="152">
        <v>100</v>
      </c>
      <c r="G36" s="152">
        <v>8</v>
      </c>
      <c r="H36" s="163">
        <f>D36*0.009</f>
        <v>45</v>
      </c>
      <c r="I36" s="164">
        <f>(PMT($K$6,G36,-D36))+(PMT($K$6,G36,,E36))</f>
        <v>668.88725451072457</v>
      </c>
      <c r="J36" s="131"/>
    </row>
    <row r="37" spans="1:10" x14ac:dyDescent="0.25">
      <c r="B37" s="131"/>
      <c r="C37" s="131"/>
      <c r="D37" s="135"/>
      <c r="E37" s="135"/>
      <c r="F37" s="152"/>
      <c r="G37" s="131"/>
      <c r="H37" s="163"/>
      <c r="I37" s="163"/>
      <c r="J37" s="131"/>
    </row>
    <row r="38" spans="1:10" s="161" customFormat="1" x14ac:dyDescent="0.25">
      <c r="A38" s="137"/>
      <c r="B38" s="133" t="s">
        <v>8</v>
      </c>
      <c r="C38" s="133"/>
      <c r="D38" s="166">
        <f>SUM(D34:D36)</f>
        <v>40000</v>
      </c>
      <c r="E38" s="136"/>
      <c r="F38" s="159"/>
      <c r="G38" s="133"/>
      <c r="H38" s="167">
        <f>SUM(H34:H36)</f>
        <v>277.5</v>
      </c>
      <c r="I38" s="176">
        <f>SUM(I34:I36)</f>
        <v>3966.9181021899344</v>
      </c>
      <c r="J38" s="133"/>
    </row>
    <row r="39" spans="1:10" x14ac:dyDescent="0.25">
      <c r="B39" s="142"/>
      <c r="C39" s="142"/>
      <c r="D39" s="142"/>
      <c r="E39" s="142"/>
      <c r="F39" s="155"/>
      <c r="G39" s="142"/>
      <c r="H39" s="142"/>
      <c r="I39" s="142"/>
      <c r="J39" s="142"/>
    </row>
    <row r="40" spans="1:10" x14ac:dyDescent="0.25">
      <c r="B40" s="121"/>
      <c r="C40" s="121"/>
      <c r="D40" s="121"/>
      <c r="E40" s="121"/>
      <c r="F40" s="154"/>
      <c r="G40" s="121"/>
      <c r="H40" s="121"/>
      <c r="I40" s="121"/>
      <c r="J40" s="121"/>
    </row>
    <row r="41" spans="1:10" x14ac:dyDescent="0.25">
      <c r="B41" s="177">
        <v>1</v>
      </c>
      <c r="C41" s="178" t="s">
        <v>97</v>
      </c>
      <c r="D41" s="121"/>
      <c r="E41" s="121"/>
      <c r="F41" s="154"/>
      <c r="G41" s="121"/>
      <c r="H41" s="121"/>
      <c r="I41" s="121"/>
      <c r="J41" s="121"/>
    </row>
    <row r="42" spans="1:10" x14ac:dyDescent="0.25">
      <c r="B42" s="177"/>
      <c r="C42" s="178" t="s">
        <v>98</v>
      </c>
      <c r="D42" s="121"/>
      <c r="E42" s="121"/>
      <c r="F42" s="154"/>
      <c r="G42" s="121"/>
      <c r="H42" s="121"/>
      <c r="I42" s="121"/>
      <c r="J42" s="121"/>
    </row>
    <row r="43" spans="1:10" x14ac:dyDescent="0.25">
      <c r="B43" s="177">
        <v>2</v>
      </c>
      <c r="C43" s="178" t="s">
        <v>99</v>
      </c>
      <c r="D43" s="121"/>
      <c r="E43" s="179"/>
      <c r="F43" s="154"/>
      <c r="G43" s="121"/>
      <c r="H43" s="121"/>
      <c r="I43" s="121"/>
      <c r="J43" s="121"/>
    </row>
    <row r="44" spans="1:10" x14ac:dyDescent="0.25">
      <c r="E44" s="180"/>
    </row>
    <row r="45" spans="1:10" x14ac:dyDescent="0.25">
      <c r="E45" s="1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DG1-17</vt:lpstr>
      <vt:lpstr>Flows</vt:lpstr>
      <vt:lpstr>Investment</vt:lpstr>
      <vt:lpstr>'DG1-17'!Print_Area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Ashlee</cp:lastModifiedBy>
  <cp:lastPrinted>2016-04-20T21:35:50Z</cp:lastPrinted>
  <dcterms:created xsi:type="dcterms:W3CDTF">2015-08-20T20:25:14Z</dcterms:created>
  <dcterms:modified xsi:type="dcterms:W3CDTF">2020-08-13T16:37:59Z</dcterms:modified>
</cp:coreProperties>
</file>